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5450" windowHeight="6465" tabRatio="379"/>
  </bookViews>
  <sheets>
    <sheet name="Annexe 2013 CTC" sheetId="98" r:id="rId1"/>
  </sheets>
  <calcPr calcId="125725"/>
</workbook>
</file>

<file path=xl/calcChain.xml><?xml version="1.0" encoding="utf-8"?>
<calcChain xmlns="http://schemas.openxmlformats.org/spreadsheetml/2006/main">
  <c r="M36" i="98"/>
  <c r="I21"/>
  <c r="L21"/>
  <c r="J22"/>
  <c r="J23"/>
  <c r="J21"/>
  <c r="I13"/>
  <c r="I3"/>
  <c r="M34"/>
  <c r="L25"/>
  <c r="L23"/>
  <c r="L20"/>
  <c r="L19"/>
  <c r="L18"/>
  <c r="L16"/>
  <c r="L15"/>
  <c r="L13"/>
  <c r="L12"/>
  <c r="I7"/>
  <c r="I6"/>
  <c r="L6"/>
  <c r="L5"/>
  <c r="L4"/>
  <c r="L3"/>
  <c r="L9"/>
  <c r="L8"/>
  <c r="L7"/>
  <c r="I4"/>
  <c r="L34" l="1"/>
  <c r="I24"/>
  <c r="J16"/>
  <c r="J13"/>
  <c r="J11"/>
  <c r="J7"/>
  <c r="J4"/>
  <c r="J3" l="1"/>
  <c r="I23"/>
  <c r="J12"/>
  <c r="I12"/>
  <c r="I11"/>
  <c r="J6"/>
  <c r="I25"/>
  <c r="J25"/>
  <c r="J5" l="1"/>
  <c r="J9"/>
  <c r="J8"/>
  <c r="I22"/>
  <c r="I5"/>
  <c r="I8"/>
  <c r="I9"/>
  <c r="I14"/>
  <c r="I15"/>
  <c r="I16"/>
  <c r="I18"/>
  <c r="I19"/>
  <c r="I20"/>
  <c r="J35" l="1"/>
  <c r="J36" s="1"/>
  <c r="J34"/>
  <c r="I34"/>
  <c r="I30"/>
  <c r="J30"/>
  <c r="J31" s="1"/>
  <c r="J32" l="1"/>
</calcChain>
</file>

<file path=xl/sharedStrings.xml><?xml version="1.0" encoding="utf-8"?>
<sst xmlns="http://schemas.openxmlformats.org/spreadsheetml/2006/main" count="303" uniqueCount="208">
  <si>
    <t>Objectif</t>
  </si>
  <si>
    <t>nb</t>
  </si>
  <si>
    <t>MW</t>
  </si>
  <si>
    <t>Eau chaude solaire  - Particuliers installés</t>
  </si>
  <si>
    <t>unité</t>
  </si>
  <si>
    <t>m²</t>
  </si>
  <si>
    <t>Priseco Démunis</t>
  </si>
  <si>
    <t>O</t>
  </si>
  <si>
    <t>N</t>
  </si>
  <si>
    <t>N°</t>
  </si>
  <si>
    <t>Gain Mwh</t>
  </si>
  <si>
    <t>CTC</t>
  </si>
  <si>
    <t>EDF</t>
  </si>
  <si>
    <t>Communication Grand Public</t>
  </si>
  <si>
    <t xml:space="preserve">Description </t>
  </si>
  <si>
    <t>Contrat d'effacement en periode de pointe</t>
  </si>
  <si>
    <t>Annexe à la convention annuelle d'application</t>
  </si>
  <si>
    <t>Segment</t>
  </si>
  <si>
    <t>Nb instal</t>
  </si>
  <si>
    <t>Priseco Professionnels</t>
  </si>
  <si>
    <t>CL et PRO</t>
  </si>
  <si>
    <t>PRO</t>
  </si>
  <si>
    <t>DIV</t>
  </si>
  <si>
    <t>TOUS</t>
  </si>
  <si>
    <t xml:space="preserve">PAC air/air Classe A </t>
  </si>
  <si>
    <t>Transfomateurs Distribution Publique à Haut Rendement</t>
  </si>
  <si>
    <t>Froid alimentaire performant ( Haute Pression Flottante + meubles frigo )</t>
  </si>
  <si>
    <t>Nb pl et instal</t>
  </si>
  <si>
    <t>RES</t>
  </si>
  <si>
    <t>Substitution  des Usages Électriques - Tertiaire (ECS, cuisson, chauffage,.)</t>
  </si>
  <si>
    <t xml:space="preserve">Variateur Electronique Vitesse ( VEV ) sur Pompes et Moteurs </t>
  </si>
  <si>
    <t>Portage action</t>
  </si>
  <si>
    <t>Chargés d'affaires EDF</t>
  </si>
  <si>
    <t>Action interne EDF</t>
  </si>
  <si>
    <t xml:space="preserve"> Chargés d'affaires EDF </t>
  </si>
  <si>
    <t>Action en partenariat avec les Bailleurs Sociaux</t>
  </si>
  <si>
    <t>Animateurs filière EDF</t>
  </si>
  <si>
    <t xml:space="preserve">Animateurs filière et Chargés d'affaires EDF </t>
  </si>
  <si>
    <t>Promouvoir l'installation d'un chauffage performant autre qu'électrique</t>
  </si>
  <si>
    <t xml:space="preserve">Promouvoir le solaire et le gaz pour les différents usages des clients Pro et Collectivtés </t>
  </si>
  <si>
    <t>Equiper les moteurs et pompes de VEV afin de réduire les consommations électriques de nos clients Pro et Collectivités</t>
  </si>
  <si>
    <t>Remplacer les transformateurs par des postes à Haut rendement afin d'éviter les déperditions électriques inutiles</t>
  </si>
  <si>
    <t>Contractualiser avec les clients professionnels afin qu'ils s'effacent du réseau en cas de besoin</t>
  </si>
  <si>
    <t>NA</t>
  </si>
  <si>
    <t>2 Associations départementales</t>
  </si>
  <si>
    <t>3 Distributeurs de matériel électrique</t>
  </si>
  <si>
    <t>69 installateurs</t>
  </si>
  <si>
    <t>18 installateurs</t>
  </si>
  <si>
    <t>28 installateurs</t>
  </si>
  <si>
    <t>255 poseurs</t>
  </si>
  <si>
    <t>2 partenaires de GSA+GSB</t>
  </si>
  <si>
    <t>BE, Architecte..</t>
  </si>
  <si>
    <t>1 partenaire spécialisé EP  +                       3 Distributeurs de matériel électrique</t>
  </si>
  <si>
    <t>Opération Interne à EDF en relation avec le service réseau</t>
  </si>
  <si>
    <t>2 installeurs</t>
  </si>
  <si>
    <t>Communication, Publicité, Manifestations, Evenementiels</t>
  </si>
  <si>
    <t xml:space="preserve">Filière animée depuis 2009. Action portée également auprès des bailleurs sociaux pour le renouvellement des chaudières existantes. </t>
  </si>
  <si>
    <t>Animation de la filière depuis 2009 +   Actions spécifiques auprès des clients Pro + collectivités</t>
  </si>
  <si>
    <t>Promotion d'énergie autre que l'électricité, tel le solaire et le gaz, auprès des clients Pro et Collectivités.</t>
  </si>
  <si>
    <t>Action lancée en 2010 auprès des GSA pour la HP flottante et des MSA pour les meubles frigos</t>
  </si>
  <si>
    <t>Conventions de partenariats avec les communes, syndictas d'électrification..</t>
  </si>
  <si>
    <t>Convention avec nos plus gros clients pros ( GSA/GSB) sur l'utilisation de leurs groupes électrogènes a notre demande</t>
  </si>
  <si>
    <t>EC</t>
  </si>
  <si>
    <t>Bet + architectes</t>
  </si>
  <si>
    <t>Performance de l'Eclairage Public (Points Lumineux et Variateurs)</t>
  </si>
  <si>
    <t>Promotion de l'Isolation - Résidentiel (individuel et collectif )</t>
  </si>
  <si>
    <t>Chauffage Bois (Inserts et Chaudières )</t>
  </si>
  <si>
    <t>Conditions Eligibilité</t>
  </si>
  <si>
    <t>Installation d'un poêle ou insert à foyer fermé dont les normes sont éligibles au crédit d'impôt, dans logement existant ; 600 € pour une maison individuelle et 600€ plafonné à 50% du montant de la dépense pour un appartement. 4 000€ pour l'installation d'une chaudière Bois dans Maison individuelle neuve ou existante.</t>
  </si>
  <si>
    <t xml:space="preserve">Promotion de l'Isolation - Tertiaire  </t>
  </si>
  <si>
    <t>Filière Partenaires</t>
  </si>
  <si>
    <t>Accompagner les GSA dans leur démarche d'économies d'énérgie en installant un système de froid alimentaire performant</t>
  </si>
  <si>
    <t>Aide au cas par cas en fonction de la consommation électrique évitée.</t>
  </si>
  <si>
    <t>Éco-prime au cas par cas selon l'application et la puissance du moteur.</t>
  </si>
  <si>
    <t>Promouvoir un système d'éclairage public performant par l'installation de lampadaires économes …</t>
  </si>
  <si>
    <t>Action lancée en 2011 sur le modèle de l'opération LBC Pro de 2008 ( 41 000 ventes ) : démarchage des collectivités et client Pro tertiare</t>
  </si>
  <si>
    <t xml:space="preserve">Action lancée en 2011à confirmer , Cible : OEHC,  Kyrnolia, Collectivités et du secteur Agroalimentaire </t>
  </si>
  <si>
    <t>X</t>
  </si>
  <si>
    <t>Lutter contre contre le chauffage electrique et l'installation de PAC avec des COP insuffisants</t>
  </si>
  <si>
    <t>Chauffe-Eau Thermodynamique</t>
  </si>
  <si>
    <t>Electromenager Performant</t>
  </si>
  <si>
    <t>Chaudières Gaz / Fioul basse température ou  condensation  ( renouvellement )</t>
  </si>
  <si>
    <t>Descpritif de l'Action</t>
  </si>
  <si>
    <t>Qualifications des Partenaires</t>
  </si>
  <si>
    <t>Niveau d'Exigence</t>
  </si>
  <si>
    <t>Charte CTC-EDF</t>
  </si>
  <si>
    <t xml:space="preserve">RES </t>
  </si>
  <si>
    <t>Nouvelle Action</t>
  </si>
  <si>
    <t>Aider nos clients à renover leurs logements ou locaux afin de limiter les déperditions d'energie</t>
  </si>
  <si>
    <t>QUALIPAC</t>
  </si>
  <si>
    <t>en cours avec CTC</t>
  </si>
  <si>
    <t>En vigueur</t>
  </si>
  <si>
    <t>QUALIBOIS</t>
  </si>
  <si>
    <t>Besoin en Formation</t>
  </si>
  <si>
    <t>nouvelles  sessions à prévoir sur 2012</t>
  </si>
  <si>
    <t>QUALISOL</t>
  </si>
  <si>
    <t>En vigueur depuis 2012</t>
  </si>
  <si>
    <t>1ère session de formation pévue pour le 1er semestre 2012 + d'autres à venir</t>
  </si>
  <si>
    <t>convention partenariat</t>
  </si>
  <si>
    <t>QUALIBAT</t>
  </si>
  <si>
    <t>Prévoir des maintenant des session de formation pour anticiper 2014 ( modalités à définir )</t>
  </si>
  <si>
    <t>Non  obligatoire a ce jour mais prévue pour 2014</t>
  </si>
  <si>
    <t xml:space="preserve">QUALIBAT                       ( diverses sous qulaifaications )                         </t>
  </si>
  <si>
    <t>A développer pour les activités chauffage et entretien</t>
  </si>
  <si>
    <t>Non  obligatoire à ce jour</t>
  </si>
  <si>
    <t>A développer notamment sur le fioul</t>
  </si>
  <si>
    <t xml:space="preserve">Prévoir une relance de l'animation de la filière avec l'aide de la charte de la  CTC  </t>
  </si>
  <si>
    <t>5 Grossistes + 15 installateurs</t>
  </si>
  <si>
    <t>prévoir une chartre + convention partenariat</t>
  </si>
  <si>
    <r>
      <rPr>
        <b/>
        <sz val="12"/>
        <rFont val="Calibri"/>
        <family val="2"/>
      </rPr>
      <t>Budget Total</t>
    </r>
    <r>
      <rPr>
        <b/>
        <sz val="11"/>
        <rFont val="Calibri"/>
        <family val="2"/>
      </rPr>
      <t xml:space="preserve"> ( K€)</t>
    </r>
  </si>
  <si>
    <t>Objectifs 2013</t>
  </si>
  <si>
    <t>Réseau de revendeurs partenaires</t>
  </si>
  <si>
    <t>Pas de conditions spécifiques</t>
  </si>
  <si>
    <t>En cours
(ensemble des revendeurs)</t>
  </si>
  <si>
    <t>Evolution par rapport à 2012</t>
  </si>
  <si>
    <t>Installation par une entreprise QUALISOL. Prime varie en fonction de la surface de capteurs installés : 
 - &lt; 4m² = 600€
 - ≥ 4m² = 1 000€  
+ 150 € si l'installation à éléments séparés</t>
  </si>
  <si>
    <t>Pompe à chaleur air/air certifiée NF PAC ou Eurovent de COP ≥ 3,4, mesuré selon la norme EN 14511-2 en remplacement de convecteurs électriques ou si conservation de la chaudière gaz/fioul.
Pour le Tertiaire, remplacement d'un climatiseur existant par un climatiseur fixe de classe A (individuel ou regroupé) dont les besoins en climatisation &lt; 50kW froid.                                            Éco-prime au cas par cas selon la puissance en kW de l'appareil.</t>
  </si>
  <si>
    <t xml:space="preserve">Remplacement Chaudière existante (Gaz/Fioul) par une CONDENSATION (Gaz/Fioul):
En appartement : 525€ pour chauffage seul et 675 € pour chauffage + ECS
En maison individuelle : 750€ pour chauffage seul et 900 € pour chauffage + ECS
Remplacement Chaudière existante (G/F) par une BASSE TEMPÉRATURE (G/F) = 600€                        </t>
  </si>
  <si>
    <t>Installation d'une chaudière à CONDENSATION (Gaz/Fioul) pour le chauffage et l'ECS en substitution à l'électricité dans un logement neuf ou existant;                                                                                                                                                                                                               1 500€ pour un appartement et 4 000 € pour une maison individuelle.
Pour appartement appoint ECS :
- ECS gaz = 400€
- ECS solaire = 200€</t>
  </si>
  <si>
    <t xml:space="preserve">Coefficient thermiques à respecter pour chaque type de travaux : 
 - Combles ou toitures : R≥5 m².k/W
 - Toits terrasses : R≥3 m².K/W =&gt; pente &lt; 5% 
 - Murs : R≥2,8 m².K/W
 - Planchers : R≥2,4m²K/W
 - Ouvrants : Uw≥1,8 W/m².K
                                                     Res.                          Tert.                                              
 - Combles ou toitures : 7€ TTC/m²               9€ HT/m²
 - Toits terrasses :             7€ TTC/m²               9€ HT/m²
 - Murs :                                14€ TTC/m²            15€ HT/m² 
 - Planchers :                      14€ TTC/m²             15€ HT/m²
 - Ouvrants :                       30€ TTC/ouvrant   15€ HT/m² 
</t>
  </si>
  <si>
    <t>Action identique à celle de 2011 pour les LBC (remise gratuite des invendus)</t>
  </si>
  <si>
    <t>Nombre</t>
  </si>
  <si>
    <t>-</t>
  </si>
  <si>
    <t>Animateurs filières</t>
  </si>
  <si>
    <t xml:space="preserve">Animateurs filières et Chargés d'affaires EDF </t>
  </si>
  <si>
    <t>Actions 2013</t>
  </si>
  <si>
    <t>Prime bonifiée pour réalisation d'un bouquet de travaux</t>
  </si>
  <si>
    <t>Favoriser les rénovations totales au dépend des rénovations partielles</t>
  </si>
  <si>
    <t>Filière Partenaires
Isol'éco + Chauff'éco</t>
  </si>
  <si>
    <t>Hydro'éco tertiaire</t>
  </si>
  <si>
    <t>PAC écoles et bureaux</t>
  </si>
  <si>
    <t>Tert</t>
  </si>
  <si>
    <t>nb 
hôtels</t>
  </si>
  <si>
    <t>Action au coup par coup auprès des promoteurs et bailleurs sociaux pour placer le gaz pour les usages chauffage et ecs.
Augmentation montants de prime  + création offres appoint ECS (gaz et solaire) pour dynamiser ce type de placements . Objectif : inciter les promoteurs privés (à ce jour, solution gaz préconisée uniquement par les bailleurs sociaux)</t>
  </si>
  <si>
    <t xml:space="preserve">Réflexion en cours : prime au stère pour favoriser l'usage du bois en tant que source de chauffage principal. </t>
  </si>
  <si>
    <t xml:space="preserve">Dans l'attente des conclusions du SRCAE pour restructuration de l'offre. Nécessité : 
- D'augmenter les montants de prime attribués dans le cadre  de rénovation totales
- De réévaluer les critères d'éligibilité, perçus comme trop contraignants </t>
  </si>
  <si>
    <t>Réalisation d'au moins :
. 2 travaux d'isolation
                               +
. 1 travaux sur le système de chauffage
                              ou 
. 1 travaux sur le système ECS</t>
  </si>
  <si>
    <t>x</t>
  </si>
  <si>
    <t>Animateurs filières EDF et chargés d'affaires EDF</t>
  </si>
  <si>
    <t xml:space="preserve">Nouvelle Action
</t>
  </si>
  <si>
    <t xml:space="preserve">Nouvelle Action
</t>
  </si>
  <si>
    <t>Favoriser les économies d'énergie dans les hôtels grâce à la pose de systèmes hydro économes (douchettes + régulateurs). Offre complétée par une offre coupe-veille relié au système d'accès (coupe les appareils électriques lorsque la chambre est innocupée). 
Offres également à proposer aux autres établissements tertiaires et collectivités.</t>
  </si>
  <si>
    <t>Offre portée par le réseau d'entreprises, constitué de l'ensemble des revendeurs électroménager de l'île</t>
  </si>
  <si>
    <t>Offre portée par un réseau d'entreprises partenaires hautement qualifié et animé par les animateurs filières EDF</t>
  </si>
  <si>
    <t>Action portée par les chargées d'affaires EDF pour les grands hôtels (rencontres directes) + campagne de mailing et courrier. Distribution assurée par les revendeurs locaux.</t>
  </si>
  <si>
    <t>CL</t>
  </si>
  <si>
    <t xml:space="preserve">Chargés d'affaires collectivités EDF </t>
  </si>
  <si>
    <t>Collectivités démarchées par les chargés d'affaires collectivités, appuyés par le réseau d'entreprises EDF-CTC</t>
  </si>
  <si>
    <t>Création des offres:
 - Système hydro'éco : montant de l'aide en cours d'évaluation. 
- Coupe veille ==&gt; 15€/chambre</t>
  </si>
  <si>
    <t>Pompe à chaleur de classe A, installée par une entreprise appartenant au réseau d'entreprise partenaire EDF - CTC, en remplacement de convecteurs électriques.</t>
  </si>
  <si>
    <t>Chéque Energie</t>
  </si>
  <si>
    <t>Partenariat banque de l'île</t>
  </si>
  <si>
    <t>Nouvelle action</t>
  </si>
  <si>
    <t>Res</t>
  </si>
  <si>
    <t>Faciliter le transfert d'information entre les organismes financiers et les partenaires institutionnels afin d'encourager le PTZ</t>
  </si>
  <si>
    <t>Distribution gratuite aux bailleurs sociaux des invendus des campagnes précédentes</t>
  </si>
  <si>
    <t>Offre portée par un réseau d'entreprises développé depuis 2011, hautement qualifié (qualification Reconnu Grenelle Environnement)</t>
  </si>
  <si>
    <t>Animation de la filière depuis 2009. Professionalisation de la filière. Ensemble des partenaires certifiés QUALIBOIS</t>
  </si>
  <si>
    <t>Animation de la filière depuis 2009 +  Action spécifique auprès des Bailleurs Sociaux.</t>
  </si>
  <si>
    <t>Prime bonifiée attribuée au client dans le cadre de la réalisation d'un bouquet de travaux (voir conditions d'éligibilité). Offre portée par les entreprises partenaires, appuyées par les chargés d'affaires.</t>
  </si>
  <si>
    <t xml:space="preserve"> Luminaire d'éclairage extérieur (150€ rénovation - 75€ neuf): 
 - Ensemble optique fermé d’un indice de protection (IP) de 55 minimum
 - Efficacité lumineuse de l’ensemble lampe + auxiliaire d’alimentation ≥ 70 lumens par watt 
 - Valeur du pourcentage de flux de lampe sortant du luminaire installé, directement dirigé vers l’hémisphère supérieur du luminaire (ULOR) ≤ 3 % en éclairage fonctionnel et &lt; 5 % en éclairage d’ambiance 
Horloge Astronomique (100€) : 
 - Les horloges doivent être IP 2X
 - L'heure courante de l'horloge doit être assurée soit par radio synchronisation, soit par un système interne
 - La mise à l'heure automatique de l'horloge doit être radio synchronisée 
 - Mise en place réalisée par un professionnel
Régulateurs/Variateurs (1 000 € par installation, plafonné à 20% de l'investissement) :  
- Régulateurs de tension , ballasts électroniques et variateurs de puissance qui assurent la fonction régulation de tension par une électronique de puissance adaptée
- Ballasts électroniques permettant une gradation et certains systèmes qui assurent cette fonction par une électronique de puissance adaptée</t>
  </si>
  <si>
    <t>Au cas par cas :
- HP flottante selon la puissance de l'installation  en kW
- Selon les mètres linéaires de meuble installés</t>
  </si>
  <si>
    <t>à déterminer</t>
  </si>
  <si>
    <t>Eclairage performant dans le résidentiel</t>
  </si>
  <si>
    <t>Eclairage performant dans le tertiaire</t>
  </si>
  <si>
    <t>Promouvoir l'éclairage performant auprès du secteur tertiaire</t>
  </si>
  <si>
    <t>Promouvoir l'éclairage performant auprès du secteur résidentiel</t>
  </si>
  <si>
    <r>
      <rPr>
        <u/>
        <sz val="11"/>
        <rFont val="Calibri"/>
        <family val="2"/>
      </rPr>
      <t>Résidentiel</t>
    </r>
    <r>
      <rPr>
        <sz val="11"/>
        <rFont val="Calibri"/>
        <family val="2"/>
      </rPr>
      <t xml:space="preserve"> : Mise en place d'une campagne promotionnelle (LED/LBC) portée par les GSA/GSB
</t>
    </r>
    <r>
      <rPr>
        <u/>
        <sz val="11"/>
        <rFont val="Calibri"/>
        <family val="2"/>
      </rPr>
      <t/>
    </r>
  </si>
  <si>
    <r>
      <rPr>
        <u/>
        <sz val="10"/>
        <rFont val="Calibri"/>
        <family val="2"/>
      </rPr>
      <t>Résidentiel</t>
    </r>
    <r>
      <rPr>
        <sz val="10"/>
        <rFont val="Calibri"/>
        <family val="2"/>
      </rPr>
      <t xml:space="preserve"> : 
LED et LBC : conditions techniques prédéfinies. Montants d'aide en cours d'évaluation
</t>
    </r>
    <r>
      <rPr>
        <u/>
        <sz val="10"/>
        <rFont val="Calibri"/>
        <family val="2"/>
      </rPr>
      <t xml:space="preserve">
</t>
    </r>
  </si>
  <si>
    <r>
      <rPr>
        <u/>
        <sz val="10"/>
        <rFont val="Calibri"/>
        <family val="2"/>
      </rPr>
      <t>Tertiaire:</t>
    </r>
    <r>
      <rPr>
        <sz val="10"/>
        <rFont val="Calibri"/>
        <family val="2"/>
      </rPr>
      <t xml:space="preserve"> 
LED : respect des conditions techniques. Prime LED durée de vie 6 ans, 20 000h = 3€. Prime LED durée de vie 11 ans, 40 000h = 6€.
Eclairage performant (fluo T5, lampes iodures, nappes d'éclairage T5): aide au cas par cas</t>
    </r>
  </si>
  <si>
    <t>Promotion de la pris'éco PRO auprès des clients PRO et Collectivités</t>
  </si>
  <si>
    <t xml:space="preserve">Promouvoir les équipements de froid domestiques performants auprès du grand public : réfrigérateurs et congélateurs de classe A++ et A+++ </t>
  </si>
  <si>
    <r>
      <rPr>
        <b/>
        <sz val="11"/>
        <color rgb="FFFF0000"/>
        <rFont val="Calibri"/>
        <family val="2"/>
      </rPr>
      <t xml:space="preserve"> - Augmentation du montant de prime</t>
    </r>
    <r>
      <rPr>
        <sz val="11"/>
        <color rgb="FFFF0000"/>
        <rFont val="Calibri"/>
        <family val="2"/>
      </rPr>
      <t xml:space="preserve">
     MI : 4 000 € (2 000€ en 2012)
     LC : 1 500 € (1 000€ en 2012)
</t>
    </r>
    <r>
      <rPr>
        <b/>
        <sz val="11"/>
        <color rgb="FFFF0000"/>
        <rFont val="Calibri"/>
        <family val="2"/>
      </rPr>
      <t xml:space="preserve"> - Création d'une offre appoint ECS pour appartement:</t>
    </r>
    <r>
      <rPr>
        <sz val="11"/>
        <color rgb="FFFF0000"/>
        <rFont val="Calibri"/>
        <family val="2"/>
      </rPr>
      <t xml:space="preserve">
     ECS gaz : 400 €
     ECS solaire : 200 €</t>
    </r>
  </si>
  <si>
    <r>
      <rPr>
        <b/>
        <sz val="11"/>
        <color rgb="FFFF0000"/>
        <rFont val="Calibri"/>
        <family val="2"/>
      </rPr>
      <t xml:space="preserve"> - Modification formule prime ouvrants:</t>
    </r>
    <r>
      <rPr>
        <sz val="11"/>
        <color rgb="FFFF0000"/>
        <rFont val="Calibri"/>
        <family val="2"/>
      </rPr>
      <t xml:space="preserve">
     30€ par ouvrant (14€ du m² en 2012)</t>
    </r>
  </si>
  <si>
    <r>
      <rPr>
        <u/>
        <sz val="11"/>
        <color rgb="FFFF0000"/>
        <rFont val="Calibri"/>
        <family val="2"/>
      </rPr>
      <t>Tertiaire</t>
    </r>
    <r>
      <rPr>
        <sz val="11"/>
        <color rgb="FFFF0000"/>
        <rFont val="Calibri"/>
        <family val="2"/>
      </rPr>
      <t xml:space="preserve"> : 
- Création d'une offre LED (existant et neuf, dégressif dans le temps)
     LED durée de vie 6 ans, 20 000h = 3€/luminaire
     LED durée de vie 11 ans, 40 000h = 6€/luminaire
</t>
    </r>
  </si>
  <si>
    <r>
      <rPr>
        <u/>
        <sz val="11"/>
        <color rgb="FFFF0000"/>
        <rFont val="Calibri"/>
        <family val="2"/>
      </rPr>
      <t>Tertiaire</t>
    </r>
    <r>
      <rPr>
        <sz val="11"/>
        <color rgb="FFFF0000"/>
        <rFont val="Calibri"/>
        <family val="2"/>
      </rPr>
      <t xml:space="preserve"> : 
- LED : primes 3€ ou 6€ selon le type de produit (cf conditions d'éligibilité), offre portée par les chargés d'affaires EDF. Distribution assurée par les revendeurs locaux
- Eclairage performant (fluo T5, lampes iodures, nappe d'éclairage T5): aide au cas par cas. Offre portée par les chargés d'affaires EDF
</t>
    </r>
  </si>
  <si>
    <r>
      <rPr>
        <b/>
        <sz val="11"/>
        <color rgb="FFFF0000"/>
        <rFont val="Calibri"/>
        <family val="2"/>
      </rPr>
      <t xml:space="preserve"> - Augmentation du montant de prime </t>
    </r>
    <r>
      <rPr>
        <b/>
        <i/>
        <sz val="11"/>
        <color rgb="FFFF0000"/>
        <rFont val="Calibri"/>
        <family val="2"/>
      </rPr>
      <t>luminaire</t>
    </r>
    <r>
      <rPr>
        <i/>
        <sz val="11"/>
        <color rgb="FFFF0000"/>
        <rFont val="Calibri"/>
        <family val="2"/>
      </rPr>
      <t xml:space="preserve">
     150 €/luminaire (100€ en 2012) en rénovation 
      75 €/luminaire dans le neuf (pas éligible en 2012) sous réserve de présentation de 2 devis (1 devis lampadaires économes, 1 devis lampadaires classiques)
 </t>
    </r>
    <r>
      <rPr>
        <b/>
        <i/>
        <sz val="11"/>
        <color rgb="FFFF0000"/>
        <rFont val="Calibri"/>
        <family val="2"/>
      </rPr>
      <t>- Création d'une offre pour horloge astronomique</t>
    </r>
    <r>
      <rPr>
        <i/>
        <sz val="11"/>
        <color rgb="FFFF0000"/>
        <rFont val="Calibri"/>
        <family val="2"/>
      </rPr>
      <t xml:space="preserve">
     100 €/horloge astronomique (neuf ou existant)
</t>
    </r>
    <r>
      <rPr>
        <b/>
        <sz val="11"/>
        <color rgb="FFFF0000"/>
        <rFont val="Calibri"/>
        <family val="2"/>
      </rPr>
      <t>Mise en place d'un Pack EP</t>
    </r>
    <r>
      <rPr>
        <sz val="11"/>
        <color rgb="FFFF0000"/>
        <rFont val="Calibri"/>
        <family val="2"/>
      </rPr>
      <t xml:space="preserve"> : regroupant l'ensemble des offres, pour une meilleure visibilité vis-à-vis des collectivités</t>
    </r>
  </si>
  <si>
    <t>Grossistes et chargés d'affaires EDF</t>
  </si>
  <si>
    <t>Animateurs filières - Réseau d'entreprises partenaires</t>
  </si>
  <si>
    <t>Grossistes + Chargés d'affaires EDF</t>
  </si>
  <si>
    <t>Dont Dépenses relatives au site corse.energia</t>
  </si>
  <si>
    <r>
      <t xml:space="preserve">En cours d'élaboration :
- Maison individuelle, en remplacement du cumulus électrique
- Fonctionnant à air extérieur ou air ambiant
- Norme NF électricité performance
- Programmation pour consommation de nuit, </t>
    </r>
    <r>
      <rPr>
        <sz val="11"/>
        <color rgb="FFFF0000"/>
        <rFont val="Calibri"/>
        <family val="2"/>
      </rPr>
      <t>temps de chauffe &lt; 6heures</t>
    </r>
    <r>
      <rPr>
        <sz val="11"/>
        <rFont val="Calibri"/>
        <family val="2"/>
      </rPr>
      <t xml:space="preserve">
- Dimensionnement en fonction des besoins ECS du logement</t>
    </r>
  </si>
  <si>
    <r>
      <t xml:space="preserve">Création de l'offre:
 </t>
    </r>
    <r>
      <rPr>
        <sz val="11"/>
        <color rgb="FFFF0000"/>
        <rFont val="Calibri"/>
        <family val="2"/>
      </rPr>
      <t>Montant de prime :  6€ du m² chauffé/climatisé</t>
    </r>
  </si>
  <si>
    <r>
      <rPr>
        <u/>
        <sz val="11"/>
        <color rgb="FFFF0000"/>
        <rFont val="Calibri"/>
        <family val="2"/>
      </rPr>
      <t>Résidentiel</t>
    </r>
    <r>
      <rPr>
        <sz val="11"/>
        <color rgb="FFFF0000"/>
        <rFont val="Calibri"/>
        <family val="2"/>
      </rPr>
      <t xml:space="preserve"> :
- Campagne promotionnelle LED / LBC auprès du grand public. 
- Prix conseillé de vente : 1€ pour les LBC et 5€ pour les LED
</t>
    </r>
    <r>
      <rPr>
        <b/>
        <sz val="11"/>
        <color rgb="FFFF0000"/>
        <rFont val="Calibri"/>
        <family val="2"/>
      </rPr>
      <t xml:space="preserve">
</t>
    </r>
    <r>
      <rPr>
        <sz val="11"/>
        <color rgb="FFFF0000"/>
        <rFont val="Calibri"/>
        <family val="2"/>
      </rPr>
      <t xml:space="preserve">
</t>
    </r>
  </si>
  <si>
    <t>?</t>
  </si>
  <si>
    <t>100 m2</t>
  </si>
  <si>
    <t>a consolider
 prochainement</t>
  </si>
  <si>
    <t>utiliser un apport clalorifique solaire 
non consommateur d'électricité en substitution partielle de chauffage déjà en place.</t>
  </si>
  <si>
    <t xml:space="preserve">Chauffe air solaire individuel (CASI) autonome pour renovation et neuf (possible car pas pris en compte dans la RT) </t>
  </si>
  <si>
    <t>remis à jour depuis la convention 2012</t>
  </si>
  <si>
    <r>
      <t xml:space="preserve">TOTAL </t>
    </r>
    <r>
      <rPr>
        <sz val="14"/>
        <color indexed="18"/>
        <rFont val="Calibri"/>
        <family val="2"/>
      </rPr>
      <t xml:space="preserve"> =</t>
    </r>
  </si>
  <si>
    <t>incluant les offres dans le NEUF + PAC écoles et bureaux + CASI</t>
  </si>
  <si>
    <t>incluant le CASI, hors offres dans le NEUF, hors PAC écoles et bureaux</t>
  </si>
  <si>
    <r>
      <rPr>
        <sz val="11"/>
        <color rgb="FFFF0000"/>
        <rFont val="Calibri"/>
        <family val="2"/>
      </rPr>
      <t>_action EDF seul_</t>
    </r>
    <r>
      <rPr>
        <sz val="11"/>
        <rFont val="Calibri"/>
        <family val="2"/>
      </rPr>
      <t xml:space="preserve">Encourager les établissements communaux à basculer vers un système de chauffage performant, au dépend de l'utilisation de convecteurs électriques </t>
    </r>
  </si>
  <si>
    <r>
      <t xml:space="preserve">Neuf </t>
    </r>
    <r>
      <rPr>
        <b/>
        <sz val="11"/>
        <color rgb="FFFF0000"/>
        <rFont val="Calibri"/>
        <family val="2"/>
      </rPr>
      <t>( EDF seul)</t>
    </r>
  </si>
  <si>
    <t xml:space="preserve">Promouvoir le Chauffe-eau thermodynamique, au dépend du cumulus, dans la rénovation </t>
  </si>
  <si>
    <r>
      <t>Promotion du Chauffage Gaz/Fioul dans logements</t>
    </r>
    <r>
      <rPr>
        <sz val="11"/>
        <rFont val="Cambria"/>
        <family val="1"/>
      </rPr>
      <t xml:space="preserve"> neufs et </t>
    </r>
    <r>
      <rPr>
        <sz val="11"/>
        <rFont val="Calibri"/>
        <family val="2"/>
      </rPr>
      <t>existants</t>
    </r>
    <r>
      <rPr>
        <sz val="11"/>
        <color rgb="FFFF0000"/>
        <rFont val="Calibri"/>
        <family val="2"/>
      </rPr>
      <t xml:space="preserve"> ( EDF seul dans le NEUF)</t>
    </r>
  </si>
  <si>
    <t xml:space="preserve">Promouvoir le gaz / Fioul dans les logements neufs </t>
  </si>
  <si>
    <t xml:space="preserve">Promouvoir le CESI pour remplacer ou eviter l'installation de cumulus électrique </t>
  </si>
  <si>
    <t>Réalisé</t>
  </si>
  <si>
    <t>Budget Total (K€)</t>
  </si>
  <si>
    <t>REPORT 2014</t>
  </si>
  <si>
    <t>lancement nov 2013</t>
  </si>
  <si>
    <t xml:space="preserve">Création de l'offre: 
 - Réfrigérateurs et congélateurs A++ : 50€ 
 - Réfrigérateurs et congélateurs A+++ : 100€
</t>
  </si>
  <si>
    <t>Création de l'offre: 
     - 500 € dans le neuf 
    - 1 100 € dans la rénovation
 conditions : aucun appoint éléctrique et COP&gt;3</t>
  </si>
  <si>
    <t>Résultats au 31.10.2013</t>
  </si>
  <si>
    <t>lancement offre différé</t>
  </si>
  <si>
    <t>lancement dec 2013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</si>
</sst>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#,##0.0"/>
    <numFmt numFmtId="166" formatCode="0.0%"/>
    <numFmt numFmtId="167" formatCode="_-* #,##0.0000\ _€_-;\-* #,##0.0000\ _€_-;_-* &quot;-&quot;??\ _€_-;_-@_-"/>
    <numFmt numFmtId="168" formatCode="_-* #,##0.0\ _€_-;\-* #,##0.0\ _€_-;_-* &quot;-&quot;??\ _€_-;_-@_-"/>
    <numFmt numFmtId="169" formatCode="#,##0_ ;\-#,##0\ "/>
  </numFmts>
  <fonts count="30">
    <font>
      <sz val="10"/>
      <name val="Arial"/>
    </font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indexed="18"/>
      <name val="Calibri"/>
      <family val="2"/>
    </font>
    <font>
      <b/>
      <sz val="16"/>
      <color indexed="12"/>
      <name val="Calibri"/>
      <family val="2"/>
    </font>
    <font>
      <b/>
      <sz val="11"/>
      <color indexed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8"/>
      <color indexed="62"/>
      <name val="Calibri"/>
      <family val="2"/>
    </font>
    <font>
      <b/>
      <sz val="9"/>
      <color indexed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12"/>
      <name val="Calibri"/>
      <family val="2"/>
    </font>
    <font>
      <sz val="10"/>
      <name val="Calibri"/>
      <family val="2"/>
    </font>
    <font>
      <sz val="9"/>
      <color indexed="10"/>
      <name val="Calibri"/>
      <family val="2"/>
    </font>
    <font>
      <b/>
      <sz val="14"/>
      <color rgb="FFFFFF00"/>
      <name val="Calibri"/>
      <family val="2"/>
    </font>
    <font>
      <u/>
      <sz val="11"/>
      <name val="Calibri"/>
      <family val="2"/>
    </font>
    <font>
      <u/>
      <sz val="1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u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i/>
      <sz val="11"/>
      <color rgb="FFFF0000"/>
      <name val="Calibri"/>
      <family val="2"/>
    </font>
    <font>
      <strike/>
      <sz val="11"/>
      <name val="Calibri"/>
      <family val="2"/>
    </font>
    <font>
      <b/>
      <strike/>
      <sz val="14"/>
      <color rgb="FFFFFF00"/>
      <name val="Calibri"/>
      <family val="2"/>
    </font>
    <font>
      <sz val="14"/>
      <color indexed="18"/>
      <name val="Calibri"/>
      <family val="2"/>
    </font>
    <font>
      <sz val="11"/>
      <name val="Cambria"/>
      <family val="1"/>
    </font>
    <font>
      <sz val="14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4E4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theme="4"/>
      </top>
      <bottom/>
      <diagonal/>
    </border>
    <border>
      <left style="medium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9" fontId="7" fillId="0" borderId="4" xfId="2" applyFont="1" applyBorder="1" applyAlignment="1" applyProtection="1">
      <alignment horizontal="center" vertical="center"/>
      <protection locked="0"/>
    </xf>
    <xf numFmtId="9" fontId="7" fillId="0" borderId="4" xfId="2" applyFont="1" applyBorder="1" applyAlignment="1" applyProtection="1">
      <alignment horizontal="left" vertical="center" wrapText="1"/>
      <protection locked="0"/>
    </xf>
    <xf numFmtId="9" fontId="8" fillId="0" borderId="4" xfId="2" applyFont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9" fontId="7" fillId="0" borderId="4" xfId="2" applyFont="1" applyBorder="1" applyAlignment="1" applyProtection="1">
      <alignment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9" fontId="7" fillId="0" borderId="4" xfId="2" applyFont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165" fontId="8" fillId="0" borderId="4" xfId="0" applyNumberFormat="1" applyFont="1" applyFill="1" applyBorder="1" applyAlignment="1" applyProtection="1">
      <alignment horizontal="center" vertical="center"/>
      <protection locked="0"/>
    </xf>
    <xf numFmtId="166" fontId="7" fillId="0" borderId="4" xfId="2" applyNumberFormat="1" applyFont="1" applyBorder="1" applyAlignment="1" applyProtection="1">
      <alignment horizontal="center" vertical="center"/>
      <protection locked="0"/>
    </xf>
    <xf numFmtId="166" fontId="7" fillId="0" borderId="4" xfId="2" applyNumberFormat="1" applyFont="1" applyBorder="1" applyAlignment="1" applyProtection="1">
      <alignment horizontal="left" vertical="center" wrapText="1"/>
      <protection locked="0"/>
    </xf>
    <xf numFmtId="166" fontId="8" fillId="0" borderId="4" xfId="2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9" fontId="7" fillId="0" borderId="6" xfId="2" applyFont="1" applyBorder="1" applyAlignment="1" applyProtection="1">
      <alignment horizontal="center" vertical="center"/>
      <protection locked="0"/>
    </xf>
    <xf numFmtId="9" fontId="7" fillId="0" borderId="6" xfId="2" applyFont="1" applyBorder="1" applyAlignment="1" applyProtection="1">
      <alignment horizontal="left" vertical="center"/>
      <protection locked="0"/>
    </xf>
    <xf numFmtId="9" fontId="8" fillId="0" borderId="6" xfId="2" applyFont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9" fontId="2" fillId="2" borderId="9" xfId="2" applyFont="1" applyFill="1" applyBorder="1" applyAlignment="1" applyProtection="1">
      <alignment horizontal="center" vertical="center"/>
      <protection locked="0"/>
    </xf>
    <xf numFmtId="9" fontId="2" fillId="2" borderId="9" xfId="2" applyFont="1" applyFill="1" applyBorder="1" applyAlignment="1" applyProtection="1">
      <alignment horizontal="left" vertical="center"/>
      <protection locked="0"/>
    </xf>
    <xf numFmtId="9" fontId="3" fillId="2" borderId="9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9" fontId="3" fillId="0" borderId="0" xfId="2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9" fontId="7" fillId="0" borderId="3" xfId="2" applyFont="1" applyBorder="1" applyAlignment="1" applyProtection="1">
      <alignment horizontal="center" vertical="center" wrapText="1"/>
      <protection locked="0"/>
    </xf>
    <xf numFmtId="9" fontId="8" fillId="0" borderId="4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9" fontId="13" fillId="0" borderId="4" xfId="2" applyFont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vertical="center" wrapText="1"/>
      <protection locked="0"/>
    </xf>
    <xf numFmtId="9" fontId="15" fillId="0" borderId="4" xfId="2" applyFont="1" applyBorder="1" applyAlignment="1" applyProtection="1">
      <alignment horizontal="left" vertical="center" wrapText="1"/>
      <protection locked="0"/>
    </xf>
    <xf numFmtId="166" fontId="15" fillId="0" borderId="4" xfId="2" applyNumberFormat="1" applyFont="1" applyBorder="1" applyAlignment="1" applyProtection="1">
      <alignment horizontal="left" vertical="center" wrapText="1"/>
      <protection locked="0"/>
    </xf>
    <xf numFmtId="9" fontId="15" fillId="0" borderId="4" xfId="2" applyFont="1" applyBorder="1" applyAlignment="1" applyProtection="1">
      <alignment horizontal="center" vertical="center"/>
      <protection locked="0"/>
    </xf>
    <xf numFmtId="9" fontId="15" fillId="0" borderId="6" xfId="2" applyFont="1" applyBorder="1" applyAlignment="1" applyProtection="1">
      <alignment horizontal="center" vertical="center"/>
      <protection locked="0"/>
    </xf>
    <xf numFmtId="9" fontId="15" fillId="2" borderId="9" xfId="2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9" fontId="13" fillId="0" borderId="4" xfId="2" applyFont="1" applyBorder="1" applyAlignment="1" applyProtection="1">
      <alignment horizontal="left" vertical="center"/>
      <protection locked="0"/>
    </xf>
    <xf numFmtId="9" fontId="13" fillId="0" borderId="6" xfId="2" applyFont="1" applyBorder="1" applyAlignment="1" applyProtection="1">
      <alignment horizontal="left" vertical="center"/>
      <protection locked="0"/>
    </xf>
    <xf numFmtId="9" fontId="13" fillId="2" borderId="9" xfId="2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5" fillId="5" borderId="12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9" fontId="8" fillId="0" borderId="5" xfId="2" applyFont="1" applyBorder="1" applyAlignment="1" applyProtection="1">
      <alignment horizontal="center" vertical="center" wrapText="1"/>
      <protection locked="0"/>
    </xf>
    <xf numFmtId="166" fontId="8" fillId="0" borderId="5" xfId="2" applyNumberFormat="1" applyFont="1" applyBorder="1" applyAlignment="1" applyProtection="1">
      <alignment horizontal="center" vertical="center"/>
      <protection locked="0"/>
    </xf>
    <xf numFmtId="9" fontId="8" fillId="0" borderId="5" xfId="2" applyFont="1" applyBorder="1" applyAlignment="1" applyProtection="1">
      <alignment horizontal="center" vertical="center"/>
      <protection locked="0"/>
    </xf>
    <xf numFmtId="9" fontId="8" fillId="0" borderId="7" xfId="2" applyFont="1" applyBorder="1" applyAlignment="1" applyProtection="1">
      <alignment horizontal="center" vertical="center"/>
      <protection locked="0"/>
    </xf>
    <xf numFmtId="9" fontId="3" fillId="2" borderId="10" xfId="2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3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9" fontId="7" fillId="7" borderId="4" xfId="2" applyFont="1" applyFill="1" applyBorder="1" applyAlignment="1" applyProtection="1">
      <alignment horizontal="left" vertical="center" wrapText="1"/>
      <protection locked="0"/>
    </xf>
    <xf numFmtId="9" fontId="7" fillId="7" borderId="4" xfId="2" applyFont="1" applyFill="1" applyBorder="1" applyAlignment="1" applyProtection="1">
      <alignment vertical="center" wrapText="1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9" fontId="15" fillId="0" borderId="6" xfId="2" applyFont="1" applyBorder="1" applyAlignment="1" applyProtection="1">
      <alignment horizontal="left" vertical="center" wrapText="1"/>
      <protection locked="0"/>
    </xf>
    <xf numFmtId="9" fontId="7" fillId="0" borderId="6" xfId="2" applyFont="1" applyBorder="1" applyAlignment="1" applyProtection="1">
      <alignment horizontal="left" vertical="center" wrapText="1"/>
      <protection locked="0"/>
    </xf>
    <xf numFmtId="9" fontId="13" fillId="0" borderId="6" xfId="2" applyFont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3" fontId="8" fillId="0" borderId="31" xfId="0" applyNumberFormat="1" applyFont="1" applyFill="1" applyBorder="1" applyAlignment="1" applyProtection="1">
      <alignment horizontal="center" vertical="center"/>
      <protection locked="0"/>
    </xf>
    <xf numFmtId="9" fontId="7" fillId="0" borderId="31" xfId="2" applyFont="1" applyBorder="1" applyAlignment="1" applyProtection="1">
      <alignment horizontal="center" vertical="center"/>
      <protection locked="0"/>
    </xf>
    <xf numFmtId="9" fontId="15" fillId="0" borderId="31" xfId="2" applyFont="1" applyBorder="1" applyAlignment="1" applyProtection="1">
      <alignment horizontal="left" vertical="center" wrapText="1"/>
      <protection locked="0"/>
    </xf>
    <xf numFmtId="9" fontId="7" fillId="0" borderId="31" xfId="2" applyFont="1" applyBorder="1" applyAlignment="1" applyProtection="1">
      <alignment horizontal="left" vertical="center" wrapText="1"/>
      <protection locked="0"/>
    </xf>
    <xf numFmtId="9" fontId="8" fillId="0" borderId="31" xfId="2" applyFont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9" fontId="8" fillId="0" borderId="33" xfId="2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4" xfId="0" applyFont="1" applyBorder="1" applyAlignment="1">
      <alignment vertical="center"/>
    </xf>
    <xf numFmtId="0" fontId="17" fillId="8" borderId="29" xfId="0" applyFont="1" applyFill="1" applyBorder="1" applyAlignment="1">
      <alignment horizontal="center" vertical="center" wrapText="1"/>
    </xf>
    <xf numFmtId="9" fontId="15" fillId="0" borderId="14" xfId="2" applyFont="1" applyBorder="1" applyAlignment="1" applyProtection="1">
      <alignment horizontal="left" vertical="center" wrapText="1"/>
      <protection locked="0"/>
    </xf>
    <xf numFmtId="9" fontId="7" fillId="0" borderId="4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9" fontId="15" fillId="0" borderId="4" xfId="2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9" fontId="13" fillId="0" borderId="31" xfId="2" applyFont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17" fillId="8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9" fontId="7" fillId="0" borderId="4" xfId="2" applyFont="1" applyFill="1" applyBorder="1" applyAlignment="1" applyProtection="1">
      <alignment horizontal="center" vertical="center"/>
      <protection locked="0"/>
    </xf>
    <xf numFmtId="9" fontId="15" fillId="0" borderId="4" xfId="2" applyFont="1" applyFill="1" applyBorder="1" applyAlignment="1" applyProtection="1">
      <alignment horizontal="left" vertical="center" wrapText="1"/>
      <protection locked="0"/>
    </xf>
    <xf numFmtId="9" fontId="16" fillId="0" borderId="4" xfId="2" applyFont="1" applyFill="1" applyBorder="1" applyAlignment="1" applyProtection="1">
      <alignment horizontal="left" vertical="center" wrapText="1"/>
      <protection locked="0"/>
    </xf>
    <xf numFmtId="9" fontId="8" fillId="0" borderId="4" xfId="2" applyFont="1" applyFill="1" applyBorder="1" applyAlignment="1" applyProtection="1">
      <alignment horizontal="center" vertical="center"/>
      <protection locked="0"/>
    </xf>
    <xf numFmtId="9" fontId="8" fillId="0" borderId="5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3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9" fontId="15" fillId="0" borderId="14" xfId="2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3" fontId="8" fillId="9" borderId="4" xfId="0" applyNumberFormat="1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 applyProtection="1">
      <alignment vertical="center" wrapText="1"/>
      <protection locked="0"/>
    </xf>
    <xf numFmtId="3" fontId="8" fillId="9" borderId="6" xfId="0" applyNumberFormat="1" applyFont="1" applyFill="1" applyBorder="1" applyAlignment="1" applyProtection="1">
      <alignment horizontal="center" vertical="center"/>
      <protection locked="0"/>
    </xf>
    <xf numFmtId="43" fontId="3" fillId="10" borderId="14" xfId="1" applyNumberFormat="1" applyFont="1" applyFill="1" applyBorder="1" applyAlignment="1" applyProtection="1">
      <alignment horizontal="right" vertical="center"/>
      <protection locked="0"/>
    </xf>
    <xf numFmtId="43" fontId="3" fillId="10" borderId="4" xfId="1" applyNumberFormat="1" applyFont="1" applyFill="1" applyBorder="1" applyAlignment="1" applyProtection="1">
      <alignment horizontal="right" vertical="center"/>
      <protection locked="0"/>
    </xf>
    <xf numFmtId="43" fontId="3" fillId="10" borderId="4" xfId="1" applyNumberFormat="1" applyFont="1" applyFill="1" applyBorder="1" applyAlignment="1" applyProtection="1">
      <alignment horizontal="center" vertical="center"/>
      <protection locked="0"/>
    </xf>
    <xf numFmtId="43" fontId="3" fillId="10" borderId="6" xfId="1" applyNumberFormat="1" applyFont="1" applyFill="1" applyBorder="1" applyAlignment="1" applyProtection="1">
      <alignment horizontal="right" vertical="center"/>
      <protection locked="0"/>
    </xf>
    <xf numFmtId="43" fontId="3" fillId="10" borderId="31" xfId="1" applyNumberFormat="1" applyFont="1" applyFill="1" applyBorder="1" applyAlignment="1" applyProtection="1">
      <alignment horizontal="center" vertical="center"/>
      <protection locked="0"/>
    </xf>
    <xf numFmtId="43" fontId="9" fillId="10" borderId="4" xfId="1" applyNumberFormat="1" applyFont="1" applyFill="1" applyBorder="1" applyAlignment="1" applyProtection="1">
      <alignment horizontal="center" vertical="center"/>
      <protection locked="0"/>
    </xf>
    <xf numFmtId="164" fontId="3" fillId="10" borderId="18" xfId="1" applyNumberFormat="1" applyFont="1" applyFill="1" applyBorder="1" applyAlignment="1" applyProtection="1">
      <alignment horizontal="center" vertical="center"/>
      <protection locked="0"/>
    </xf>
    <xf numFmtId="43" fontId="3" fillId="11" borderId="22" xfId="1" applyNumberFormat="1" applyFont="1" applyFill="1" applyBorder="1" applyAlignment="1" applyProtection="1">
      <alignment horizontal="center" vertical="center"/>
      <protection locked="0"/>
    </xf>
    <xf numFmtId="43" fontId="3" fillId="11" borderId="5" xfId="1" applyNumberFormat="1" applyFont="1" applyFill="1" applyBorder="1" applyAlignment="1" applyProtection="1">
      <alignment horizontal="center" vertical="center"/>
      <protection locked="0"/>
    </xf>
    <xf numFmtId="43" fontId="3" fillId="11" borderId="7" xfId="1" applyNumberFormat="1" applyFont="1" applyFill="1" applyBorder="1" applyAlignment="1" applyProtection="1">
      <alignment horizontal="center" vertical="center"/>
      <protection locked="0"/>
    </xf>
    <xf numFmtId="43" fontId="3" fillId="11" borderId="33" xfId="1" applyNumberFormat="1" applyFont="1" applyFill="1" applyBorder="1" applyAlignment="1" applyProtection="1">
      <alignment horizontal="center" vertical="center"/>
      <protection locked="0"/>
    </xf>
    <xf numFmtId="164" fontId="3" fillId="11" borderId="19" xfId="1" applyNumberFormat="1" applyFont="1" applyFill="1" applyBorder="1" applyAlignment="1" applyProtection="1">
      <alignment horizontal="center" vertical="center"/>
      <protection locked="0"/>
    </xf>
    <xf numFmtId="9" fontId="20" fillId="0" borderId="4" xfId="2" applyFont="1" applyFill="1" applyBorder="1" applyAlignment="1" applyProtection="1">
      <alignment horizontal="left" vertical="center" wrapText="1"/>
      <protection locked="0"/>
    </xf>
    <xf numFmtId="9" fontId="20" fillId="0" borderId="4" xfId="2" applyFont="1" applyBorder="1" applyAlignment="1" applyProtection="1">
      <alignment horizontal="left" vertical="center" wrapText="1"/>
      <protection locked="0"/>
    </xf>
    <xf numFmtId="9" fontId="7" fillId="9" borderId="4" xfId="2" applyFont="1" applyFill="1" applyBorder="1" applyAlignment="1" applyProtection="1">
      <alignment horizontal="left" vertical="center" wrapText="1"/>
      <protection locked="0"/>
    </xf>
    <xf numFmtId="166" fontId="20" fillId="0" borderId="4" xfId="2" applyNumberFormat="1" applyFont="1" applyBorder="1" applyAlignment="1" applyProtection="1">
      <alignment horizontal="left" vertical="center" wrapText="1"/>
      <protection locked="0"/>
    </xf>
    <xf numFmtId="3" fontId="21" fillId="9" borderId="4" xfId="0" applyNumberFormat="1" applyFont="1" applyFill="1" applyBorder="1" applyAlignment="1" applyProtection="1">
      <alignment horizontal="center" vertical="center"/>
      <protection locked="0"/>
    </xf>
    <xf numFmtId="3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9" fontId="20" fillId="12" borderId="4" xfId="2" applyFont="1" applyFill="1" applyBorder="1" applyAlignment="1" applyProtection="1">
      <alignment horizontal="left" vertical="center" wrapText="1"/>
      <protection locked="0"/>
    </xf>
    <xf numFmtId="9" fontId="7" fillId="12" borderId="4" xfId="2" applyFont="1" applyFill="1" applyBorder="1" applyAlignment="1" applyProtection="1">
      <alignment horizontal="left" vertical="center" wrapText="1"/>
      <protection locked="0"/>
    </xf>
    <xf numFmtId="0" fontId="7" fillId="13" borderId="4" xfId="0" applyFont="1" applyFill="1" applyBorder="1" applyAlignment="1" applyProtection="1">
      <alignment vertical="center" wrapText="1"/>
      <protection locked="0"/>
    </xf>
    <xf numFmtId="0" fontId="7" fillId="13" borderId="13" xfId="0" applyFont="1" applyFill="1" applyBorder="1" applyAlignment="1" applyProtection="1">
      <alignment vertical="center" wrapText="1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43" fontId="9" fillId="10" borderId="6" xfId="1" applyNumberFormat="1" applyFont="1" applyFill="1" applyBorder="1" applyAlignment="1" applyProtection="1">
      <alignment horizontal="center" vertical="center"/>
      <protection locked="0"/>
    </xf>
    <xf numFmtId="0" fontId="7" fillId="13" borderId="1" xfId="0" applyFont="1" applyFill="1" applyBorder="1" applyAlignment="1">
      <alignment horizontal="center" vertical="center" wrapText="1"/>
    </xf>
    <xf numFmtId="9" fontId="15" fillId="13" borderId="37" xfId="2" applyFont="1" applyFill="1" applyBorder="1" applyAlignment="1" applyProtection="1">
      <alignment horizontal="center" vertical="center"/>
      <protection locked="0"/>
    </xf>
    <xf numFmtId="9" fontId="7" fillId="13" borderId="37" xfId="2" applyFont="1" applyFill="1" applyBorder="1" applyAlignment="1" applyProtection="1">
      <alignment horizontal="left" vertical="center" wrapText="1"/>
      <protection locked="0"/>
    </xf>
    <xf numFmtId="0" fontId="7" fillId="13" borderId="0" xfId="0" applyFont="1" applyFill="1" applyAlignment="1" applyProtection="1">
      <alignment vertical="center"/>
      <protection locked="0"/>
    </xf>
    <xf numFmtId="0" fontId="7" fillId="13" borderId="0" xfId="0" applyFont="1" applyFill="1" applyAlignment="1">
      <alignment vertical="center"/>
    </xf>
    <xf numFmtId="9" fontId="7" fillId="13" borderId="38" xfId="2" applyFont="1" applyFill="1" applyBorder="1" applyAlignment="1" applyProtection="1">
      <alignment horizontal="center" vertical="center"/>
      <protection locked="0"/>
    </xf>
    <xf numFmtId="164" fontId="3" fillId="10" borderId="39" xfId="1" applyNumberFormat="1" applyFont="1" applyFill="1" applyBorder="1" applyAlignment="1" applyProtection="1">
      <alignment horizontal="center" vertical="center"/>
      <protection locked="0"/>
    </xf>
    <xf numFmtId="164" fontId="3" fillId="11" borderId="2" xfId="1" applyNumberFormat="1" applyFont="1" applyFill="1" applyBorder="1" applyAlignment="1" applyProtection="1">
      <alignment horizontal="center" vertical="center"/>
      <protection locked="0"/>
    </xf>
    <xf numFmtId="0" fontId="7" fillId="13" borderId="4" xfId="0" applyFont="1" applyFill="1" applyBorder="1" applyAlignment="1" applyProtection="1">
      <alignment horizontal="center" vertical="center"/>
      <protection locked="0"/>
    </xf>
    <xf numFmtId="3" fontId="8" fillId="13" borderId="4" xfId="0" applyNumberFormat="1" applyFont="1" applyFill="1" applyBorder="1" applyAlignment="1" applyProtection="1">
      <alignment horizontal="center" vertical="center"/>
      <protection locked="0"/>
    </xf>
    <xf numFmtId="43" fontId="3" fillId="13" borderId="4" xfId="1" applyNumberFormat="1" applyFont="1" applyFill="1" applyBorder="1" applyAlignment="1" applyProtection="1">
      <alignment horizontal="center" vertical="center"/>
      <protection locked="0"/>
    </xf>
    <xf numFmtId="43" fontId="9" fillId="13" borderId="4" xfId="1" applyNumberFormat="1" applyFont="1" applyFill="1" applyBorder="1" applyAlignment="1" applyProtection="1">
      <alignment horizontal="center" vertical="center" wrapText="1"/>
      <protection locked="0"/>
    </xf>
    <xf numFmtId="9" fontId="15" fillId="0" borderId="14" xfId="2" applyFont="1" applyBorder="1" applyAlignment="1" applyProtection="1">
      <alignment horizontal="left" vertical="center" wrapText="1"/>
      <protection locked="0"/>
    </xf>
    <xf numFmtId="0" fontId="25" fillId="13" borderId="4" xfId="0" applyFont="1" applyFill="1" applyBorder="1" applyAlignment="1" applyProtection="1">
      <alignment vertical="center"/>
      <protection locked="0"/>
    </xf>
    <xf numFmtId="0" fontId="25" fillId="13" borderId="4" xfId="0" applyFont="1" applyFill="1" applyBorder="1" applyAlignment="1" applyProtection="1">
      <alignment horizontal="center" vertical="center"/>
      <protection locked="0"/>
    </xf>
    <xf numFmtId="0" fontId="26" fillId="13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3" fillId="14" borderId="18" xfId="1" applyNumberFormat="1" applyFont="1" applyFill="1" applyBorder="1" applyAlignment="1" applyProtection="1">
      <alignment horizontal="center" vertical="center"/>
      <protection locked="0"/>
    </xf>
    <xf numFmtId="164" fontId="3" fillId="14" borderId="19" xfId="1" applyNumberFormat="1" applyFont="1" applyFill="1" applyBorder="1" applyAlignment="1" applyProtection="1">
      <alignment horizontal="center" vertical="center"/>
      <protection locked="0"/>
    </xf>
    <xf numFmtId="0" fontId="7" fillId="13" borderId="4" xfId="0" applyFont="1" applyFill="1" applyBorder="1" applyAlignment="1" applyProtection="1">
      <alignment vertical="center"/>
      <protection locked="0"/>
    </xf>
    <xf numFmtId="164" fontId="3" fillId="11" borderId="36" xfId="1" applyNumberFormat="1" applyFont="1" applyFill="1" applyBorder="1" applyAlignment="1" applyProtection="1">
      <alignment horizontal="center" vertical="center"/>
      <protection locked="0"/>
    </xf>
    <xf numFmtId="164" fontId="3" fillId="11" borderId="24" xfId="1" applyNumberFormat="1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 wrapText="1"/>
      <protection locked="0"/>
    </xf>
    <xf numFmtId="0" fontId="8" fillId="14" borderId="42" xfId="0" applyFont="1" applyFill="1" applyBorder="1" applyAlignment="1" applyProtection="1">
      <alignment horizontal="center" vertical="center" wrapText="1"/>
      <protection locked="0"/>
    </xf>
    <xf numFmtId="0" fontId="8" fillId="14" borderId="43" xfId="0" applyFont="1" applyFill="1" applyBorder="1" applyAlignment="1" applyProtection="1">
      <alignment horizontal="center" vertical="center" wrapText="1"/>
      <protection locked="0"/>
    </xf>
    <xf numFmtId="0" fontId="8" fillId="14" borderId="17" xfId="0" applyFont="1" applyFill="1" applyBorder="1" applyAlignment="1" applyProtection="1">
      <alignment horizontal="center" vertical="center" wrapText="1"/>
      <protection locked="0"/>
    </xf>
    <xf numFmtId="43" fontId="3" fillId="14" borderId="13" xfId="1" applyNumberFormat="1" applyFont="1" applyFill="1" applyBorder="1" applyAlignment="1" applyProtection="1">
      <alignment horizontal="center" vertical="center"/>
      <protection locked="0"/>
    </xf>
    <xf numFmtId="43" fontId="3" fillId="14" borderId="20" xfId="1" applyNumberFormat="1" applyFont="1" applyFill="1" applyBorder="1" applyAlignment="1" applyProtection="1">
      <alignment horizontal="center" vertical="center"/>
      <protection locked="0"/>
    </xf>
    <xf numFmtId="43" fontId="3" fillId="14" borderId="32" xfId="1" applyNumberFormat="1" applyFont="1" applyFill="1" applyBorder="1" applyAlignment="1" applyProtection="1">
      <alignment horizontal="center" vertical="center"/>
      <protection locked="0"/>
    </xf>
    <xf numFmtId="167" fontId="3" fillId="14" borderId="13" xfId="1" applyNumberFormat="1" applyFont="1" applyFill="1" applyBorder="1" applyAlignment="1" applyProtection="1">
      <alignment horizontal="center" vertical="center"/>
      <protection locked="0"/>
    </xf>
    <xf numFmtId="164" fontId="3" fillId="14" borderId="26" xfId="1" applyNumberFormat="1" applyFont="1" applyFill="1" applyBorder="1" applyAlignment="1" applyProtection="1">
      <alignment horizontal="center" vertical="center"/>
      <protection locked="0"/>
    </xf>
    <xf numFmtId="164" fontId="3" fillId="14" borderId="13" xfId="1" applyNumberFormat="1" applyFont="1" applyFill="1" applyBorder="1" applyAlignment="1" applyProtection="1">
      <alignment horizontal="center" vertical="center"/>
      <protection locked="0"/>
    </xf>
    <xf numFmtId="164" fontId="3" fillId="14" borderId="20" xfId="1" applyNumberFormat="1" applyFont="1" applyFill="1" applyBorder="1" applyAlignment="1" applyProtection="1">
      <alignment horizontal="center" vertical="center"/>
      <protection locked="0"/>
    </xf>
    <xf numFmtId="167" fontId="3" fillId="14" borderId="32" xfId="1" applyNumberFormat="1" applyFont="1" applyFill="1" applyBorder="1" applyAlignment="1" applyProtection="1">
      <alignment horizontal="center" vertical="center" wrapText="1"/>
      <protection locked="0"/>
    </xf>
    <xf numFmtId="167" fontId="3" fillId="13" borderId="4" xfId="1" applyNumberFormat="1" applyFont="1" applyFill="1" applyBorder="1" applyAlignment="1" applyProtection="1">
      <alignment horizontal="center" vertical="center"/>
      <protection locked="0"/>
    </xf>
    <xf numFmtId="9" fontId="2" fillId="2" borderId="44" xfId="2" applyFont="1" applyFill="1" applyBorder="1" applyAlignment="1" applyProtection="1">
      <alignment horizontal="center" vertical="center"/>
      <protection locked="0"/>
    </xf>
    <xf numFmtId="43" fontId="3" fillId="14" borderId="14" xfId="1" applyNumberFormat="1" applyFont="1" applyFill="1" applyBorder="1" applyAlignment="1" applyProtection="1">
      <alignment horizontal="right" vertical="center"/>
      <protection locked="0"/>
    </xf>
    <xf numFmtId="43" fontId="3" fillId="14" borderId="4" xfId="1" applyNumberFormat="1" applyFont="1" applyFill="1" applyBorder="1" applyAlignment="1" applyProtection="1">
      <alignment horizontal="right" vertical="center"/>
      <protection locked="0"/>
    </xf>
    <xf numFmtId="43" fontId="3" fillId="14" borderId="4" xfId="1" applyNumberFormat="1" applyFont="1" applyFill="1" applyBorder="1" applyAlignment="1" applyProtection="1">
      <alignment horizontal="center" vertical="center"/>
      <protection locked="0"/>
    </xf>
    <xf numFmtId="43" fontId="3" fillId="14" borderId="6" xfId="1" applyNumberFormat="1" applyFont="1" applyFill="1" applyBorder="1" applyAlignment="1" applyProtection="1">
      <alignment horizontal="right" vertical="center"/>
      <protection locked="0"/>
    </xf>
    <xf numFmtId="43" fontId="9" fillId="14" borderId="4" xfId="1" applyNumberFormat="1" applyFont="1" applyFill="1" applyBorder="1" applyAlignment="1" applyProtection="1">
      <alignment horizontal="center" vertical="center"/>
      <protection locked="0"/>
    </xf>
    <xf numFmtId="43" fontId="9" fillId="14" borderId="6" xfId="1" applyNumberFormat="1" applyFont="1" applyFill="1" applyBorder="1" applyAlignment="1" applyProtection="1">
      <alignment horizontal="center" vertical="center"/>
      <protection locked="0"/>
    </xf>
    <xf numFmtId="168" fontId="3" fillId="14" borderId="26" xfId="1" applyNumberFormat="1" applyFont="1" applyFill="1" applyBorder="1" applyAlignment="1" applyProtection="1">
      <alignment horizontal="center" vertical="center"/>
      <protection locked="0"/>
    </xf>
    <xf numFmtId="168" fontId="3" fillId="14" borderId="13" xfId="1" applyNumberFormat="1" applyFont="1" applyFill="1" applyBorder="1" applyAlignment="1" applyProtection="1">
      <alignment horizontal="center" vertical="center"/>
      <protection locked="0"/>
    </xf>
    <xf numFmtId="164" fontId="3" fillId="14" borderId="4" xfId="1" applyNumberFormat="1" applyFont="1" applyFill="1" applyBorder="1" applyAlignment="1" applyProtection="1">
      <alignment horizontal="right" vertical="center"/>
      <protection locked="0"/>
    </xf>
    <xf numFmtId="169" fontId="3" fillId="14" borderId="3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right" vertical="center"/>
      <protection locked="0"/>
    </xf>
    <xf numFmtId="0" fontId="4" fillId="2" borderId="24" xfId="0" applyFont="1" applyFill="1" applyBorder="1" applyAlignment="1" applyProtection="1">
      <alignment horizontal="right" vertical="center"/>
      <protection locked="0"/>
    </xf>
    <xf numFmtId="0" fontId="4" fillId="2" borderId="40" xfId="0" applyFont="1" applyFill="1" applyBorder="1" applyAlignment="1" applyProtection="1">
      <alignment horizontal="right" vertical="center"/>
      <protection locked="0"/>
    </xf>
    <xf numFmtId="0" fontId="29" fillId="2" borderId="23" xfId="0" applyFont="1" applyFill="1" applyBorder="1" applyAlignment="1" applyProtection="1">
      <alignment horizontal="right" vertical="center"/>
      <protection locked="0"/>
    </xf>
    <xf numFmtId="0" fontId="29" fillId="2" borderId="24" xfId="0" applyFont="1" applyFill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7" fillId="8" borderId="6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3" xfId="0" applyFont="1" applyFill="1" applyBorder="1" applyAlignment="1" applyProtection="1">
      <alignment horizontal="right" vertical="center"/>
      <protection locked="0"/>
    </xf>
    <xf numFmtId="0" fontId="27" fillId="2" borderId="24" xfId="0" applyFont="1" applyFill="1" applyBorder="1" applyAlignment="1" applyProtection="1">
      <alignment horizontal="right" vertical="center"/>
      <protection locked="0"/>
    </xf>
    <xf numFmtId="9" fontId="15" fillId="0" borderId="6" xfId="2" applyFont="1" applyBorder="1" applyAlignment="1" applyProtection="1">
      <alignment horizontal="left" vertical="center" wrapText="1"/>
      <protection locked="0"/>
    </xf>
    <xf numFmtId="9" fontId="15" fillId="0" borderId="14" xfId="2" applyFont="1" applyBorder="1" applyAlignment="1" applyProtection="1">
      <alignment horizontal="left" vertical="center" wrapText="1"/>
      <protection locked="0"/>
    </xf>
    <xf numFmtId="0" fontId="2" fillId="6" borderId="2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2" borderId="41" xfId="0" applyFont="1" applyFill="1" applyBorder="1" applyAlignment="1" applyProtection="1">
      <alignment horizontal="right" vertical="center"/>
      <protection locked="0"/>
    </xf>
    <xf numFmtId="0" fontId="4" fillId="2" borderId="36" xfId="0" applyFont="1" applyFill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10" fillId="4" borderId="27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10" fillId="14" borderId="27" xfId="0" applyFont="1" applyFill="1" applyBorder="1" applyAlignment="1" applyProtection="1">
      <alignment horizontal="center" vertical="center"/>
      <protection locked="0"/>
    </xf>
    <xf numFmtId="0" fontId="10" fillId="14" borderId="11" xfId="0" applyFont="1" applyFill="1" applyBorder="1" applyAlignment="1" applyProtection="1">
      <alignment horizontal="center" vertical="center"/>
      <protection locked="0"/>
    </xf>
    <xf numFmtId="0" fontId="10" fillId="14" borderId="12" xfId="0" applyFont="1" applyFill="1" applyBorder="1" applyAlignment="1" applyProtection="1">
      <alignment horizontal="center" vertical="center"/>
      <protection locked="0"/>
    </xf>
    <xf numFmtId="43" fontId="3" fillId="15" borderId="13" xfId="1" applyNumberFormat="1" applyFont="1" applyFill="1" applyBorder="1" applyAlignment="1" applyProtection="1">
      <alignment horizontal="center" vertical="center"/>
      <protection locked="0"/>
    </xf>
    <xf numFmtId="168" fontId="3" fillId="15" borderId="13" xfId="1" applyNumberFormat="1" applyFont="1" applyFill="1" applyBorder="1" applyAlignment="1" applyProtection="1">
      <alignment horizontal="center"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808000"/>
      <rgbColor rgb="00FF00FF"/>
      <rgbColor rgb="0000FFFF"/>
      <rgbColor rgb="0009357A"/>
      <rgbColor rgb="00008000"/>
      <rgbColor rgb="00000080"/>
      <rgbColor rgb="00FFFF86"/>
      <rgbColor rgb="00800080"/>
      <rgbColor rgb="00008080"/>
      <rgbColor rgb="00C0C0C0"/>
      <rgbColor rgb="00FFA02F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DD4E43"/>
      <color rgb="FFFF66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180975</xdr:rowOff>
    </xdr:from>
    <xdr:to>
      <xdr:col>0</xdr:col>
      <xdr:colOff>828675</xdr:colOff>
      <xdr:row>2</xdr:row>
      <xdr:rowOff>752475</xdr:rowOff>
    </xdr:to>
    <xdr:pic>
      <xdr:nvPicPr>
        <xdr:cNvPr id="1417" name="Picture 1" descr="Q:\COLDEV\M D E\ANTHONY MONDOLONI\Clé USB\EDF\LOGOS\LOGO SOLAIR'ECO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362075"/>
          <a:ext cx="8001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4</xdr:row>
      <xdr:rowOff>174625</xdr:rowOff>
    </xdr:from>
    <xdr:to>
      <xdr:col>0</xdr:col>
      <xdr:colOff>828675</xdr:colOff>
      <xdr:row>4</xdr:row>
      <xdr:rowOff>765175</xdr:rowOff>
    </xdr:to>
    <xdr:pic>
      <xdr:nvPicPr>
        <xdr:cNvPr id="1418" name="Picture 2" descr="Q:\COLDEV\M D E\ANTHONY MONDOLONI\Clé USB\EDF\LOGOS\LOGO CHAUFF'ECO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654425"/>
          <a:ext cx="800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53975</xdr:colOff>
      <xdr:row>5</xdr:row>
      <xdr:rowOff>619125</xdr:rowOff>
    </xdr:from>
    <xdr:to>
      <xdr:col>0</xdr:col>
      <xdr:colOff>854075</xdr:colOff>
      <xdr:row>5</xdr:row>
      <xdr:rowOff>1209675</xdr:rowOff>
    </xdr:to>
    <xdr:pic>
      <xdr:nvPicPr>
        <xdr:cNvPr id="1419" name="Picture 3" descr="Q:\COLDEV\M D E\ANTHONY MONDOLONI\Clé USB\EDF\LOGOS\LOGO CHAUFF'ECO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75" y="5038725"/>
          <a:ext cx="800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6</xdr:row>
      <xdr:rowOff>85725</xdr:rowOff>
    </xdr:from>
    <xdr:to>
      <xdr:col>0</xdr:col>
      <xdr:colOff>828675</xdr:colOff>
      <xdr:row>6</xdr:row>
      <xdr:rowOff>676275</xdr:rowOff>
    </xdr:to>
    <xdr:pic>
      <xdr:nvPicPr>
        <xdr:cNvPr id="1420" name="Picture 4" descr="Q:\COLDEV\M D E\ANTHONY MONDOLONI\Clé USB\EDF\LOGOS\LOGO CHAUFF'ECO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4429125"/>
          <a:ext cx="800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</xdr:row>
      <xdr:rowOff>0</xdr:rowOff>
    </xdr:from>
    <xdr:to>
      <xdr:col>0</xdr:col>
      <xdr:colOff>866775</xdr:colOff>
      <xdr:row>7</xdr:row>
      <xdr:rowOff>0</xdr:rowOff>
    </xdr:to>
    <xdr:pic>
      <xdr:nvPicPr>
        <xdr:cNvPr id="1421" name="Picture 6" descr="F:\EDF\TYPOGRAPHIE &amp; MODELES\LOGOS\OFFRES MDE\LOGO PRISECO-QUADRI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b="7692"/>
        <a:stretch>
          <a:fillRect/>
        </a:stretch>
      </xdr:blipFill>
      <xdr:spPr bwMode="auto">
        <a:xfrm>
          <a:off x="28575" y="5067300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13</xdr:row>
      <xdr:rowOff>28575</xdr:rowOff>
    </xdr:from>
    <xdr:to>
      <xdr:col>0</xdr:col>
      <xdr:colOff>847725</xdr:colOff>
      <xdr:row>13</xdr:row>
      <xdr:rowOff>704850</xdr:rowOff>
    </xdr:to>
    <xdr:pic>
      <xdr:nvPicPr>
        <xdr:cNvPr id="1422" name="Picture 7" descr="F:\EDF\TYPOGRAPHIE &amp; MODELES\LOGOS\OFFRES MDE\LOGO PRISECO-QUADRI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7692"/>
        <a:stretch>
          <a:fillRect/>
        </a:stretch>
      </xdr:blipFill>
      <xdr:spPr bwMode="auto">
        <a:xfrm>
          <a:off x="28575" y="7267575"/>
          <a:ext cx="819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14</xdr:row>
      <xdr:rowOff>28575</xdr:rowOff>
    </xdr:from>
    <xdr:to>
      <xdr:col>0</xdr:col>
      <xdr:colOff>847725</xdr:colOff>
      <xdr:row>14</xdr:row>
      <xdr:rowOff>704850</xdr:rowOff>
    </xdr:to>
    <xdr:pic>
      <xdr:nvPicPr>
        <xdr:cNvPr id="1423" name="Picture 8" descr="F:\EDF\TYPOGRAPHIE &amp; MODELES\LOGOS\OFFRES MDE\LOGO PRISECO-QUADRI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7692"/>
        <a:stretch>
          <a:fillRect/>
        </a:stretch>
      </xdr:blipFill>
      <xdr:spPr bwMode="auto">
        <a:xfrm>
          <a:off x="28575" y="8020050"/>
          <a:ext cx="819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7</xdr:row>
      <xdr:rowOff>473075</xdr:rowOff>
    </xdr:from>
    <xdr:to>
      <xdr:col>0</xdr:col>
      <xdr:colOff>790575</xdr:colOff>
      <xdr:row>8</xdr:row>
      <xdr:rowOff>444500</xdr:rowOff>
    </xdr:to>
    <xdr:pic>
      <xdr:nvPicPr>
        <xdr:cNvPr id="1424" name="Picture 10" descr="F:\EDF\TYPOGRAPHIE &amp; MODELES\LOGOS\OFFRES MDE\ISOL EC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6251" t="17188" r="19319" b="19063"/>
        <a:stretch>
          <a:fillRect/>
        </a:stretch>
      </xdr:blipFill>
      <xdr:spPr bwMode="auto">
        <a:xfrm>
          <a:off x="76200" y="69500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34925</xdr:colOff>
      <xdr:row>11</xdr:row>
      <xdr:rowOff>1330328</xdr:rowOff>
    </xdr:from>
    <xdr:to>
      <xdr:col>0</xdr:col>
      <xdr:colOff>812800</xdr:colOff>
      <xdr:row>12</xdr:row>
      <xdr:rowOff>148574</xdr:rowOff>
    </xdr:to>
    <xdr:pic>
      <xdr:nvPicPr>
        <xdr:cNvPr id="1426" name="Picture 12" descr="F:\EDF\TYPOGRAPHIE &amp; MODELES\LOGOS\OFFRES MDE\lum_eco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4512" r="9775" b="13535"/>
        <a:stretch>
          <a:fillRect/>
        </a:stretch>
      </xdr:blipFill>
      <xdr:spPr bwMode="auto">
        <a:xfrm>
          <a:off x="34925" y="13274678"/>
          <a:ext cx="777875" cy="913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15</xdr:row>
      <xdr:rowOff>28575</xdr:rowOff>
    </xdr:from>
    <xdr:to>
      <xdr:col>0</xdr:col>
      <xdr:colOff>847725</xdr:colOff>
      <xdr:row>15</xdr:row>
      <xdr:rowOff>704850</xdr:rowOff>
    </xdr:to>
    <xdr:pic>
      <xdr:nvPicPr>
        <xdr:cNvPr id="1427" name="Picture 13" descr="F:\EDF\TYPOGRAPHIE &amp; MODELES\LOGOS\OFFRES MDE\jour_eco_v2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6250" t="6250" r="6250" b="6250"/>
        <a:stretch>
          <a:fillRect/>
        </a:stretch>
      </xdr:blipFill>
      <xdr:spPr bwMode="auto">
        <a:xfrm>
          <a:off x="95250" y="1240155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16</xdr:row>
      <xdr:rowOff>19050</xdr:rowOff>
    </xdr:from>
    <xdr:to>
      <xdr:col>0</xdr:col>
      <xdr:colOff>838200</xdr:colOff>
      <xdr:row>16</xdr:row>
      <xdr:rowOff>676275</xdr:rowOff>
    </xdr:to>
    <xdr:pic>
      <xdr:nvPicPr>
        <xdr:cNvPr id="1430" name="Picture 18" descr="Q:\COLDEV\M D E\ANTHONY MONDOLONI\Clé USB\EDF\LOGOS\LOGO AFFAIRE'ECO.bm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" y="13115925"/>
          <a:ext cx="8191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9525</xdr:rowOff>
    </xdr:from>
    <xdr:to>
      <xdr:col>0</xdr:col>
      <xdr:colOff>762000</xdr:colOff>
      <xdr:row>18</xdr:row>
      <xdr:rowOff>0</xdr:rowOff>
    </xdr:to>
    <xdr:pic>
      <xdr:nvPicPr>
        <xdr:cNvPr id="1431" name="Picture 19" descr="Q:\COLDEV\M D E\ANTHONY MONDOLONI\Clé USB\EDF\LOGOS\LOGO FROID'ECO.bmp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5725" y="13830300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704850</xdr:colOff>
      <xdr:row>0</xdr:row>
      <xdr:rowOff>523875</xdr:rowOff>
    </xdr:to>
    <xdr:pic>
      <xdr:nvPicPr>
        <xdr:cNvPr id="143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0454" t="16144" r="11365" b="16592"/>
        <a:stretch>
          <a:fillRect/>
        </a:stretch>
      </xdr:blipFill>
      <xdr:spPr bwMode="auto">
        <a:xfrm>
          <a:off x="152400" y="47625"/>
          <a:ext cx="5524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</xdr:row>
      <xdr:rowOff>180975</xdr:rowOff>
    </xdr:from>
    <xdr:to>
      <xdr:col>0</xdr:col>
      <xdr:colOff>790575</xdr:colOff>
      <xdr:row>2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104775" y="714375"/>
          <a:ext cx="6858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agir’</a:t>
          </a:r>
          <a:r>
            <a:rPr lang="fr-FR" sz="1000" b="1" i="0" u="none" strike="noStrike" baseline="0">
              <a:solidFill>
                <a:srgbClr val="FFA02F"/>
              </a:solidFill>
              <a:latin typeface="Arial"/>
              <a:cs typeface="Arial"/>
            </a:rPr>
            <a:t>éco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28575</xdr:colOff>
      <xdr:row>3</xdr:row>
      <xdr:rowOff>288925</xdr:rowOff>
    </xdr:from>
    <xdr:to>
      <xdr:col>0</xdr:col>
      <xdr:colOff>828675</xdr:colOff>
      <xdr:row>3</xdr:row>
      <xdr:rowOff>879475</xdr:rowOff>
    </xdr:to>
    <xdr:pic>
      <xdr:nvPicPr>
        <xdr:cNvPr id="1436" name="Picture 26" descr="Q:\COLDEV\M D E\ANTHONY MONDOLONI\Clé USB\EDF\LOGOS\LOGO CHAUFF'ECO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409825"/>
          <a:ext cx="800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18</xdr:row>
      <xdr:rowOff>54768</xdr:rowOff>
    </xdr:from>
    <xdr:to>
      <xdr:col>0</xdr:col>
      <xdr:colOff>838200</xdr:colOff>
      <xdr:row>18</xdr:row>
      <xdr:rowOff>711993</xdr:rowOff>
    </xdr:to>
    <xdr:pic>
      <xdr:nvPicPr>
        <xdr:cNvPr id="1438" name="Picture 28" descr="Q:\COLDEV\M D E\ANTHONY MONDOLONI\Clé USB\EDF\LOGOS\LOGO AFFAIRE'ECO.bm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" y="21926549"/>
          <a:ext cx="8191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54903</xdr:colOff>
      <xdr:row>9</xdr:row>
      <xdr:rowOff>215900</xdr:rowOff>
    </xdr:from>
    <xdr:to>
      <xdr:col>0</xdr:col>
      <xdr:colOff>825500</xdr:colOff>
      <xdr:row>9</xdr:row>
      <xdr:rowOff>952500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903" y="9321800"/>
          <a:ext cx="770597" cy="736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101600</xdr:colOff>
      <xdr:row>23</xdr:row>
      <xdr:rowOff>889000</xdr:rowOff>
    </xdr:from>
    <xdr:to>
      <xdr:col>0</xdr:col>
      <xdr:colOff>825500</xdr:colOff>
      <xdr:row>23</xdr:row>
      <xdr:rowOff>1508125</xdr:rowOff>
    </xdr:to>
    <xdr:pic>
      <xdr:nvPicPr>
        <xdr:cNvPr id="24" name="Picture 25" descr="Q:\COLDEV\M D E\ANTHONY MONDOLONI\Clé USB\EDF\LOGOS\LOGO HYDRO'ECO.bm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1600" y="27520900"/>
          <a:ext cx="7239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20</xdr:row>
      <xdr:rowOff>774700</xdr:rowOff>
    </xdr:from>
    <xdr:to>
      <xdr:col>0</xdr:col>
      <xdr:colOff>762000</xdr:colOff>
      <xdr:row>20</xdr:row>
      <xdr:rowOff>1384300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2400" y="24777700"/>
          <a:ext cx="609600" cy="609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47624</xdr:colOff>
      <xdr:row>28</xdr:row>
      <xdr:rowOff>202402</xdr:rowOff>
    </xdr:from>
    <xdr:to>
      <xdr:col>0</xdr:col>
      <xdr:colOff>847724</xdr:colOff>
      <xdr:row>28</xdr:row>
      <xdr:rowOff>792952</xdr:rowOff>
    </xdr:to>
    <xdr:pic>
      <xdr:nvPicPr>
        <xdr:cNvPr id="21" name="Picture 2" descr="Q:\COLDEV\M D E\ANTHONY MONDOLONI\Clé USB\EDF\LOGOS\LOGO CHAUFF'ECO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4" y="31134840"/>
          <a:ext cx="800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AK38"/>
  <sheetViews>
    <sheetView tabSelected="1" zoomScale="80" zoomScaleNormal="80" workbookViewId="0">
      <pane xSplit="2" ySplit="2" topLeftCell="C24" activePane="bottomRight" state="frozen"/>
      <selection pane="topRight" activeCell="B1" sqref="B1"/>
      <selection pane="bottomLeft" activeCell="A3" sqref="A3"/>
      <selection pane="bottomRight" activeCell="O38" sqref="O38"/>
    </sheetView>
  </sheetViews>
  <sheetFormatPr baseColWidth="10" defaultColWidth="11.5703125" defaultRowHeight="18.75"/>
  <cols>
    <col min="1" max="1" width="13.5703125" style="1" customWidth="1"/>
    <col min="2" max="2" width="4.28515625" style="42" customWidth="1"/>
    <col min="3" max="3" width="36" style="6" customWidth="1"/>
    <col min="4" max="4" width="2.28515625" style="6" hidden="1" customWidth="1"/>
    <col min="5" max="5" width="10.28515625" style="43" customWidth="1"/>
    <col min="6" max="6" width="40.28515625" style="6" customWidth="1"/>
    <col min="7" max="7" width="9.28515625" style="43" customWidth="1"/>
    <col min="8" max="8" width="8.140625" style="43" customWidth="1"/>
    <col min="9" max="9" width="17.28515625" style="42" customWidth="1"/>
    <col min="10" max="10" width="18" style="42" customWidth="1"/>
    <col min="11" max="11" width="18.5703125" style="42" customWidth="1"/>
    <col min="12" max="12" width="16.28515625" style="42" customWidth="1"/>
    <col min="13" max="13" width="16.7109375" style="42" customWidth="1"/>
    <col min="14" max="14" width="5.7109375" style="6" customWidth="1"/>
    <col min="15" max="15" width="21.7109375" style="74" bestFit="1" customWidth="1"/>
    <col min="16" max="16" width="42.28515625" style="44" customWidth="1"/>
    <col min="17" max="17" width="50.7109375" style="44" customWidth="1"/>
    <col min="18" max="18" width="77.28515625" style="78" customWidth="1"/>
    <col min="19" max="19" width="15.42578125" style="6" customWidth="1"/>
    <col min="20" max="20" width="18" style="46" customWidth="1"/>
    <col min="21" max="21" width="18.42578125" style="6" customWidth="1"/>
    <col min="22" max="22" width="17.28515625" style="6" customWidth="1"/>
    <col min="23" max="23" width="23.7109375" style="6" customWidth="1"/>
    <col min="24" max="24" width="30.7109375" style="6" customWidth="1"/>
    <col min="25" max="25" width="2.140625" style="6" customWidth="1"/>
    <col min="26" max="26" width="1.7109375" style="6" customWidth="1"/>
    <col min="27" max="27" width="1.85546875" style="6" customWidth="1"/>
    <col min="28" max="28" width="2.140625" style="6" customWidth="1"/>
    <col min="29" max="37" width="11.5703125" style="6" customWidth="1"/>
    <col min="38" max="16384" width="11.5703125" style="1"/>
  </cols>
  <sheetData>
    <row r="1" spans="1:37" ht="42" customHeight="1">
      <c r="A1" s="230"/>
      <c r="B1" s="236" t="s">
        <v>16</v>
      </c>
      <c r="C1" s="237"/>
      <c r="D1" s="237"/>
      <c r="E1" s="237"/>
      <c r="F1" s="237"/>
      <c r="G1" s="238" t="s">
        <v>110</v>
      </c>
      <c r="H1" s="239"/>
      <c r="I1" s="239"/>
      <c r="J1" s="240"/>
      <c r="K1" s="242" t="s">
        <v>205</v>
      </c>
      <c r="L1" s="243"/>
      <c r="M1" s="244"/>
      <c r="N1" s="47"/>
      <c r="O1" s="68"/>
      <c r="P1" s="47"/>
      <c r="Q1" s="47"/>
      <c r="R1" s="65"/>
      <c r="S1" s="47"/>
      <c r="T1" s="48"/>
      <c r="U1" s="55"/>
      <c r="V1" s="55"/>
      <c r="W1" s="55"/>
      <c r="X1" s="79"/>
    </row>
    <row r="2" spans="1:37" s="3" customFormat="1" ht="51" customHeight="1" thickBot="1">
      <c r="A2" s="231"/>
      <c r="B2" s="7" t="s">
        <v>9</v>
      </c>
      <c r="C2" s="8" t="s">
        <v>125</v>
      </c>
      <c r="D2" s="9"/>
      <c r="E2" s="8" t="s">
        <v>17</v>
      </c>
      <c r="F2" s="49" t="s">
        <v>14</v>
      </c>
      <c r="G2" s="51" t="s">
        <v>4</v>
      </c>
      <c r="H2" s="52" t="s">
        <v>0</v>
      </c>
      <c r="I2" s="53" t="s">
        <v>10</v>
      </c>
      <c r="J2" s="54" t="s">
        <v>109</v>
      </c>
      <c r="K2" s="189" t="s">
        <v>199</v>
      </c>
      <c r="L2" s="190" t="s">
        <v>10</v>
      </c>
      <c r="M2" s="191" t="s">
        <v>200</v>
      </c>
      <c r="N2" s="188" t="s">
        <v>12</v>
      </c>
      <c r="O2" s="8" t="s">
        <v>31</v>
      </c>
      <c r="P2" s="8" t="s">
        <v>82</v>
      </c>
      <c r="Q2" s="8" t="s">
        <v>114</v>
      </c>
      <c r="R2" s="66" t="s">
        <v>67</v>
      </c>
      <c r="S2" s="10" t="s">
        <v>13</v>
      </c>
      <c r="T2" s="11" t="s">
        <v>70</v>
      </c>
      <c r="U2" s="56" t="s">
        <v>83</v>
      </c>
      <c r="V2" s="56" t="s">
        <v>85</v>
      </c>
      <c r="W2" s="56" t="s">
        <v>84</v>
      </c>
      <c r="X2" s="80" t="s">
        <v>93</v>
      </c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s="3" customFormat="1" ht="73.5" customHeight="1">
      <c r="A3" s="4"/>
      <c r="B3" s="7">
        <v>1</v>
      </c>
      <c r="C3" s="13" t="s">
        <v>3</v>
      </c>
      <c r="D3" s="14"/>
      <c r="E3" s="15" t="s">
        <v>28</v>
      </c>
      <c r="F3" s="57" t="s">
        <v>198</v>
      </c>
      <c r="G3" s="60" t="s">
        <v>1</v>
      </c>
      <c r="H3" s="50">
        <v>100</v>
      </c>
      <c r="I3" s="140">
        <f>1.729*H3</f>
        <v>172.9</v>
      </c>
      <c r="J3" s="147">
        <f>(H3*0.95*1150+750*H3*0.05)/1000</f>
        <v>113</v>
      </c>
      <c r="K3" s="196">
        <v>148</v>
      </c>
      <c r="L3" s="202">
        <f>1.729*K3</f>
        <v>255.89200000000002</v>
      </c>
      <c r="M3" s="208">
        <v>36.756</v>
      </c>
      <c r="N3" s="16" t="s">
        <v>77</v>
      </c>
      <c r="O3" s="69" t="s">
        <v>36</v>
      </c>
      <c r="P3" s="17" t="s">
        <v>106</v>
      </c>
      <c r="Q3" s="90"/>
      <c r="R3" s="69" t="s">
        <v>115</v>
      </c>
      <c r="S3" s="18" t="s">
        <v>7</v>
      </c>
      <c r="T3" s="19" t="s">
        <v>46</v>
      </c>
      <c r="U3" s="18" t="s">
        <v>95</v>
      </c>
      <c r="V3" s="18" t="s">
        <v>90</v>
      </c>
      <c r="W3" s="18" t="s">
        <v>91</v>
      </c>
      <c r="X3" s="81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s="3" customFormat="1" ht="106.5" customHeight="1">
      <c r="A4" s="4"/>
      <c r="B4" s="7">
        <v>2</v>
      </c>
      <c r="C4" s="14" t="s">
        <v>24</v>
      </c>
      <c r="D4" s="14"/>
      <c r="E4" s="15" t="s">
        <v>86</v>
      </c>
      <c r="F4" s="57" t="s">
        <v>78</v>
      </c>
      <c r="G4" s="61" t="s">
        <v>1</v>
      </c>
      <c r="H4" s="158">
        <v>250</v>
      </c>
      <c r="I4" s="141">
        <f>3.857*H4</f>
        <v>964.25</v>
      </c>
      <c r="J4" s="148">
        <f>(H4*0.7*450+H4*0.3*120)/1000</f>
        <v>87.75</v>
      </c>
      <c r="K4" s="197">
        <v>243</v>
      </c>
      <c r="L4" s="203">
        <f>3.857*K4</f>
        <v>937.25100000000009</v>
      </c>
      <c r="M4" s="209">
        <v>75.546000000000006</v>
      </c>
      <c r="N4" s="16" t="s">
        <v>77</v>
      </c>
      <c r="O4" s="69" t="s">
        <v>36</v>
      </c>
      <c r="P4" s="21" t="s">
        <v>156</v>
      </c>
      <c r="Q4" s="91"/>
      <c r="R4" s="69" t="s">
        <v>116</v>
      </c>
      <c r="S4" s="18" t="s">
        <v>8</v>
      </c>
      <c r="T4" s="24" t="s">
        <v>107</v>
      </c>
      <c r="U4" s="18" t="s">
        <v>89</v>
      </c>
      <c r="V4" s="63" t="s">
        <v>108</v>
      </c>
      <c r="W4" s="18" t="s">
        <v>91</v>
      </c>
      <c r="X4" s="81" t="s">
        <v>94</v>
      </c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s="3" customFormat="1" ht="73.5" customHeight="1">
      <c r="A5" s="4"/>
      <c r="B5" s="7">
        <v>3</v>
      </c>
      <c r="C5" s="13" t="s">
        <v>81</v>
      </c>
      <c r="D5" s="14"/>
      <c r="E5" s="15" t="s">
        <v>28</v>
      </c>
      <c r="F5" s="57" t="s">
        <v>38</v>
      </c>
      <c r="G5" s="61" t="s">
        <v>1</v>
      </c>
      <c r="H5" s="158">
        <v>500</v>
      </c>
      <c r="I5" s="141">
        <f>2.565*H5</f>
        <v>1282.5</v>
      </c>
      <c r="J5" s="148">
        <f>(H5*0.75*600+H5*0.25*750)/1000</f>
        <v>318.75</v>
      </c>
      <c r="K5" s="197">
        <v>789</v>
      </c>
      <c r="L5" s="203">
        <f>2.565*K5</f>
        <v>2023.7849999999999</v>
      </c>
      <c r="M5" s="209">
        <v>428.27800000000002</v>
      </c>
      <c r="N5" s="16" t="s">
        <v>77</v>
      </c>
      <c r="O5" s="69" t="s">
        <v>37</v>
      </c>
      <c r="P5" s="17" t="s">
        <v>56</v>
      </c>
      <c r="Q5" s="90"/>
      <c r="R5" s="69" t="s">
        <v>117</v>
      </c>
      <c r="S5" s="18" t="s">
        <v>7</v>
      </c>
      <c r="T5" s="22" t="s">
        <v>47</v>
      </c>
      <c r="U5" s="63" t="s">
        <v>102</v>
      </c>
      <c r="V5" s="63" t="s">
        <v>98</v>
      </c>
      <c r="W5" s="18" t="s">
        <v>104</v>
      </c>
      <c r="X5" s="81" t="s">
        <v>103</v>
      </c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s="3" customFormat="1" ht="158.25" customHeight="1">
      <c r="A6" s="4"/>
      <c r="B6" s="7">
        <v>4</v>
      </c>
      <c r="C6" s="161" t="s">
        <v>196</v>
      </c>
      <c r="D6" s="14"/>
      <c r="E6" s="15" t="s">
        <v>28</v>
      </c>
      <c r="F6" s="162" t="s">
        <v>197</v>
      </c>
      <c r="G6" s="61" t="s">
        <v>1</v>
      </c>
      <c r="H6" s="20">
        <v>300</v>
      </c>
      <c r="I6" s="141">
        <f>6*H6</f>
        <v>1800</v>
      </c>
      <c r="J6" s="148">
        <f>(H6*1000/1000)</f>
        <v>300</v>
      </c>
      <c r="K6" s="197">
        <v>248</v>
      </c>
      <c r="L6" s="203">
        <f>6*K6</f>
        <v>1488</v>
      </c>
      <c r="M6" s="246">
        <v>104.5</v>
      </c>
      <c r="N6" s="16" t="s">
        <v>77</v>
      </c>
      <c r="O6" s="69" t="s">
        <v>32</v>
      </c>
      <c r="P6" s="17" t="s">
        <v>133</v>
      </c>
      <c r="Q6" s="153" t="s">
        <v>172</v>
      </c>
      <c r="R6" s="69" t="s">
        <v>118</v>
      </c>
      <c r="S6" s="18" t="s">
        <v>8</v>
      </c>
      <c r="T6" s="19" t="s">
        <v>63</v>
      </c>
      <c r="U6" s="63" t="s">
        <v>102</v>
      </c>
      <c r="V6" s="63" t="s">
        <v>98</v>
      </c>
      <c r="W6" s="18" t="s">
        <v>104</v>
      </c>
      <c r="X6" s="81" t="s">
        <v>105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s="3" customFormat="1" ht="57.6" customHeight="1">
      <c r="A7" s="4"/>
      <c r="B7" s="7">
        <v>5</v>
      </c>
      <c r="C7" s="13" t="s">
        <v>66</v>
      </c>
      <c r="D7" s="14"/>
      <c r="E7" s="15" t="s">
        <v>28</v>
      </c>
      <c r="F7" s="57" t="s">
        <v>38</v>
      </c>
      <c r="G7" s="61" t="s">
        <v>1</v>
      </c>
      <c r="H7" s="20">
        <v>600</v>
      </c>
      <c r="I7" s="141">
        <f>3.793*H7</f>
        <v>2275.8000000000002</v>
      </c>
      <c r="J7" s="148">
        <f>(H7*0.98*600+H7*0.02*4000)/1000</f>
        <v>400.8</v>
      </c>
      <c r="K7" s="197">
        <v>369</v>
      </c>
      <c r="L7" s="203">
        <f>3.793*K7</f>
        <v>1399.617</v>
      </c>
      <c r="M7" s="209">
        <v>279.93</v>
      </c>
      <c r="N7" s="16" t="s">
        <v>77</v>
      </c>
      <c r="O7" s="69" t="s">
        <v>36</v>
      </c>
      <c r="P7" s="17" t="s">
        <v>157</v>
      </c>
      <c r="Q7" s="152" t="s">
        <v>134</v>
      </c>
      <c r="R7" s="69" t="s">
        <v>68</v>
      </c>
      <c r="S7" s="18" t="s">
        <v>7</v>
      </c>
      <c r="T7" s="19" t="s">
        <v>48</v>
      </c>
      <c r="U7" s="18" t="s">
        <v>92</v>
      </c>
      <c r="V7" s="63" t="s">
        <v>98</v>
      </c>
      <c r="W7" s="18" t="s">
        <v>96</v>
      </c>
      <c r="X7" s="81" t="s">
        <v>97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s="3" customFormat="1" ht="60">
      <c r="A8" s="241"/>
      <c r="B8" s="7">
        <v>6</v>
      </c>
      <c r="C8" s="13" t="s">
        <v>65</v>
      </c>
      <c r="D8" s="14"/>
      <c r="E8" s="15" t="s">
        <v>28</v>
      </c>
      <c r="F8" s="234" t="s">
        <v>88</v>
      </c>
      <c r="G8" s="61" t="s">
        <v>5</v>
      </c>
      <c r="H8" s="157">
        <v>35000</v>
      </c>
      <c r="I8" s="141">
        <f>0.055*H8</f>
        <v>1925</v>
      </c>
      <c r="J8" s="148">
        <f>H8*12.5/1000</f>
        <v>437.5</v>
      </c>
      <c r="K8" s="197">
        <v>29062</v>
      </c>
      <c r="L8" s="203">
        <f>0.055*K8</f>
        <v>1598.41</v>
      </c>
      <c r="M8" s="209">
        <v>366.37099999999998</v>
      </c>
      <c r="N8" s="16" t="s">
        <v>77</v>
      </c>
      <c r="O8" s="69" t="s">
        <v>37</v>
      </c>
      <c r="P8" s="17" t="s">
        <v>158</v>
      </c>
      <c r="Q8" s="153" t="s">
        <v>173</v>
      </c>
      <c r="R8" s="228" t="s">
        <v>119</v>
      </c>
      <c r="S8" s="18" t="s">
        <v>7</v>
      </c>
      <c r="T8" s="224" t="s">
        <v>49</v>
      </c>
      <c r="U8" s="18" t="s">
        <v>99</v>
      </c>
      <c r="V8" s="63" t="s">
        <v>98</v>
      </c>
      <c r="W8" s="63" t="s">
        <v>101</v>
      </c>
      <c r="X8" s="81" t="s">
        <v>100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s="3" customFormat="1" ht="105.75" customHeight="1">
      <c r="A9" s="241"/>
      <c r="B9" s="7">
        <v>7</v>
      </c>
      <c r="C9" s="25" t="s">
        <v>69</v>
      </c>
      <c r="D9" s="14"/>
      <c r="E9" s="15" t="s">
        <v>20</v>
      </c>
      <c r="F9" s="235"/>
      <c r="G9" s="61" t="s">
        <v>5</v>
      </c>
      <c r="H9" s="20">
        <v>26000</v>
      </c>
      <c r="I9" s="141">
        <f>0.078*H9</f>
        <v>2028</v>
      </c>
      <c r="J9" s="148">
        <f>14*H9/1000</f>
        <v>364</v>
      </c>
      <c r="K9" s="197">
        <v>24828</v>
      </c>
      <c r="L9" s="203">
        <f>0.078*K9</f>
        <v>1936.5840000000001</v>
      </c>
      <c r="M9" s="197">
        <v>227.60599999999999</v>
      </c>
      <c r="N9" s="16" t="s">
        <v>77</v>
      </c>
      <c r="O9" s="69" t="s">
        <v>124</v>
      </c>
      <c r="P9" s="17" t="s">
        <v>57</v>
      </c>
      <c r="Q9" s="90"/>
      <c r="R9" s="229"/>
      <c r="S9" s="18" t="s">
        <v>7</v>
      </c>
      <c r="T9" s="225"/>
      <c r="U9" s="18" t="s">
        <v>99</v>
      </c>
      <c r="V9" s="63" t="s">
        <v>98</v>
      </c>
      <c r="W9" s="63" t="s">
        <v>101</v>
      </c>
      <c r="X9" s="81" t="s">
        <v>100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s="3" customFormat="1" ht="105.75" customHeight="1">
      <c r="A10" s="115"/>
      <c r="B10" s="7">
        <v>8</v>
      </c>
      <c r="C10" s="25" t="s">
        <v>126</v>
      </c>
      <c r="D10" s="14"/>
      <c r="E10" s="15" t="s">
        <v>28</v>
      </c>
      <c r="F10" s="87" t="s">
        <v>127</v>
      </c>
      <c r="G10" s="61" t="s">
        <v>121</v>
      </c>
      <c r="H10" s="20">
        <v>30</v>
      </c>
      <c r="I10" s="142" t="s">
        <v>122</v>
      </c>
      <c r="J10" s="148" t="s">
        <v>162</v>
      </c>
      <c r="K10" s="197">
        <v>7</v>
      </c>
      <c r="L10" s="204" t="s">
        <v>122</v>
      </c>
      <c r="M10" s="192">
        <v>1.7629999999999999</v>
      </c>
      <c r="N10" s="16"/>
      <c r="O10" s="116" t="s">
        <v>123</v>
      </c>
      <c r="P10" s="153" t="s">
        <v>159</v>
      </c>
      <c r="Q10" s="152" t="s">
        <v>135</v>
      </c>
      <c r="R10" s="113" t="s">
        <v>136</v>
      </c>
      <c r="S10" s="18" t="s">
        <v>7</v>
      </c>
      <c r="T10" s="88" t="s">
        <v>128</v>
      </c>
      <c r="U10" s="18"/>
      <c r="V10" s="63"/>
      <c r="W10" s="63"/>
      <c r="X10" s="8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s="3" customFormat="1" ht="135">
      <c r="A11" s="241"/>
      <c r="B11" s="7">
        <v>9</v>
      </c>
      <c r="C11" s="13" t="s">
        <v>163</v>
      </c>
      <c r="D11" s="14"/>
      <c r="E11" s="15" t="s">
        <v>28</v>
      </c>
      <c r="F11" s="136" t="s">
        <v>166</v>
      </c>
      <c r="G11" s="61" t="s">
        <v>1</v>
      </c>
      <c r="H11" s="137">
        <v>30000</v>
      </c>
      <c r="I11" s="142">
        <f>(H11*0.8*34.72+H11*0.2*70)/1000</f>
        <v>1253.28</v>
      </c>
      <c r="J11" s="148">
        <f>0.0035*H11</f>
        <v>105</v>
      </c>
      <c r="K11" s="195" t="s">
        <v>201</v>
      </c>
      <c r="L11" s="204"/>
      <c r="M11" s="192"/>
      <c r="N11" s="16" t="s">
        <v>137</v>
      </c>
      <c r="O11" s="116" t="s">
        <v>138</v>
      </c>
      <c r="P11" s="17" t="s">
        <v>167</v>
      </c>
      <c r="Q11" s="159" t="s">
        <v>183</v>
      </c>
      <c r="R11" s="135" t="s">
        <v>168</v>
      </c>
      <c r="S11" s="18"/>
      <c r="T11" s="89"/>
      <c r="U11" s="18"/>
      <c r="V11" s="63"/>
      <c r="W11" s="63"/>
      <c r="X11" s="8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s="3" customFormat="1" ht="165">
      <c r="A12" s="241"/>
      <c r="B12" s="7"/>
      <c r="C12" s="13" t="s">
        <v>164</v>
      </c>
      <c r="D12" s="14"/>
      <c r="E12" s="15" t="s">
        <v>21</v>
      </c>
      <c r="F12" s="136" t="s">
        <v>165</v>
      </c>
      <c r="G12" s="61" t="s">
        <v>1</v>
      </c>
      <c r="H12" s="137">
        <v>2500</v>
      </c>
      <c r="I12" s="142">
        <f>H12*120/1000</f>
        <v>300</v>
      </c>
      <c r="J12" s="148">
        <f>H12*6/1000</f>
        <v>15</v>
      </c>
      <c r="K12" s="197">
        <v>2555</v>
      </c>
      <c r="L12" s="204">
        <f>K12*120/1000</f>
        <v>306.60000000000002</v>
      </c>
      <c r="M12" s="209">
        <v>23.6</v>
      </c>
      <c r="N12" s="16" t="s">
        <v>137</v>
      </c>
      <c r="O12" s="116" t="s">
        <v>177</v>
      </c>
      <c r="P12" s="153" t="s">
        <v>175</v>
      </c>
      <c r="Q12" s="152" t="s">
        <v>174</v>
      </c>
      <c r="R12" s="135" t="s">
        <v>169</v>
      </c>
      <c r="S12" s="18"/>
      <c r="T12" s="134"/>
      <c r="U12" s="18"/>
      <c r="V12" s="63"/>
      <c r="W12" s="63"/>
      <c r="X12" s="8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3" customFormat="1" ht="298.5" customHeight="1" thickBot="1">
      <c r="A13" s="241"/>
      <c r="B13" s="7">
        <v>10</v>
      </c>
      <c r="C13" s="13" t="s">
        <v>64</v>
      </c>
      <c r="D13" s="14"/>
      <c r="E13" s="15" t="s">
        <v>20</v>
      </c>
      <c r="F13" s="57" t="s">
        <v>74</v>
      </c>
      <c r="G13" s="62" t="s">
        <v>27</v>
      </c>
      <c r="H13" s="137">
        <v>800</v>
      </c>
      <c r="I13" s="141">
        <f>0.394*H13</f>
        <v>315.2</v>
      </c>
      <c r="J13" s="148">
        <f>(H13*0.625*150+H13*0.125*75+H13*0.25*100)/1000</f>
        <v>102.5</v>
      </c>
      <c r="K13" s="197">
        <v>971</v>
      </c>
      <c r="L13" s="203">
        <f>0.394*K13</f>
        <v>382.57400000000001</v>
      </c>
      <c r="M13" s="209">
        <v>98.03</v>
      </c>
      <c r="N13" s="27" t="s">
        <v>77</v>
      </c>
      <c r="O13" s="70" t="s">
        <v>32</v>
      </c>
      <c r="P13" s="28" t="s">
        <v>60</v>
      </c>
      <c r="Q13" s="155" t="s">
        <v>176</v>
      </c>
      <c r="R13" s="70" t="s">
        <v>160</v>
      </c>
      <c r="S13" s="29" t="s">
        <v>8</v>
      </c>
      <c r="T13" s="24" t="s">
        <v>52</v>
      </c>
      <c r="U13" s="29"/>
      <c r="V13" s="29"/>
      <c r="W13" s="29"/>
      <c r="X13" s="8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s="3" customFormat="1" ht="59.25" customHeight="1" thickTop="1">
      <c r="A14" s="4"/>
      <c r="B14" s="7">
        <v>11</v>
      </c>
      <c r="C14" s="13" t="s">
        <v>6</v>
      </c>
      <c r="D14" s="14"/>
      <c r="E14" s="15" t="s">
        <v>28</v>
      </c>
      <c r="F14" s="57" t="s">
        <v>155</v>
      </c>
      <c r="G14" s="61" t="s">
        <v>1</v>
      </c>
      <c r="H14" s="20">
        <v>5000</v>
      </c>
      <c r="I14" s="141">
        <f>0.142*H14</f>
        <v>709.99999999999989</v>
      </c>
      <c r="J14" s="148">
        <v>0</v>
      </c>
      <c r="K14" s="199" t="s">
        <v>202</v>
      </c>
      <c r="L14" s="203"/>
      <c r="M14" s="192">
        <v>0</v>
      </c>
      <c r="N14" s="16" t="s">
        <v>77</v>
      </c>
      <c r="O14" s="69" t="s">
        <v>35</v>
      </c>
      <c r="P14" s="154" t="s">
        <v>120</v>
      </c>
      <c r="Q14" s="90"/>
      <c r="R14" s="67"/>
      <c r="S14" s="18" t="s">
        <v>8</v>
      </c>
      <c r="T14" s="24" t="s">
        <v>44</v>
      </c>
      <c r="U14" s="18"/>
      <c r="V14" s="18"/>
      <c r="W14" s="18"/>
      <c r="X14" s="83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s="133" customFormat="1" ht="60">
      <c r="A15" s="122"/>
      <c r="B15" s="7">
        <v>12</v>
      </c>
      <c r="C15" s="123" t="s">
        <v>19</v>
      </c>
      <c r="D15" s="124"/>
      <c r="E15" s="125" t="s">
        <v>20</v>
      </c>
      <c r="F15" s="138" t="s">
        <v>170</v>
      </c>
      <c r="G15" s="126" t="s">
        <v>1</v>
      </c>
      <c r="H15" s="20">
        <v>3000</v>
      </c>
      <c r="I15" s="141">
        <f>0.103*H15</f>
        <v>309</v>
      </c>
      <c r="J15" s="148"/>
      <c r="K15" s="197">
        <v>2000</v>
      </c>
      <c r="L15" s="203">
        <f>0.103*K15</f>
        <v>206</v>
      </c>
      <c r="M15" s="192">
        <v>0</v>
      </c>
      <c r="N15" s="127" t="s">
        <v>77</v>
      </c>
      <c r="O15" s="128" t="s">
        <v>34</v>
      </c>
      <c r="P15" s="154" t="s">
        <v>75</v>
      </c>
      <c r="Q15" s="90"/>
      <c r="R15" s="129"/>
      <c r="S15" s="130" t="s">
        <v>8</v>
      </c>
      <c r="T15" s="24" t="s">
        <v>45</v>
      </c>
      <c r="U15" s="130"/>
      <c r="V15" s="130"/>
      <c r="W15" s="130"/>
      <c r="X15" s="131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</row>
    <row r="16" spans="1:37" s="3" customFormat="1" ht="57.6" customHeight="1">
      <c r="A16" s="4"/>
      <c r="B16" s="7">
        <v>13</v>
      </c>
      <c r="C16" s="13" t="s">
        <v>15</v>
      </c>
      <c r="D16" s="14"/>
      <c r="E16" s="15" t="s">
        <v>21</v>
      </c>
      <c r="F16" s="57" t="s">
        <v>42</v>
      </c>
      <c r="G16" s="61" t="s">
        <v>2</v>
      </c>
      <c r="H16" s="26">
        <v>4</v>
      </c>
      <c r="I16" s="141">
        <f>H16</f>
        <v>4</v>
      </c>
      <c r="J16" s="148">
        <f>H16*7.5</f>
        <v>30</v>
      </c>
      <c r="K16" s="209">
        <v>4.3</v>
      </c>
      <c r="L16" s="210">
        <f>K16</f>
        <v>4.3</v>
      </c>
      <c r="M16" s="209">
        <v>10.135</v>
      </c>
      <c r="N16" s="16" t="s">
        <v>77</v>
      </c>
      <c r="O16" s="69" t="s">
        <v>32</v>
      </c>
      <c r="P16" s="17" t="s">
        <v>61</v>
      </c>
      <c r="Q16" s="90"/>
      <c r="R16" s="67"/>
      <c r="S16" s="18" t="s">
        <v>8</v>
      </c>
      <c r="T16" s="24" t="s">
        <v>50</v>
      </c>
      <c r="U16" s="18"/>
      <c r="V16" s="18"/>
      <c r="W16" s="18"/>
      <c r="X16" s="83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s="3" customFormat="1" ht="57.6" customHeight="1">
      <c r="A17" s="4"/>
      <c r="B17" s="7">
        <v>14</v>
      </c>
      <c r="C17" s="13" t="s">
        <v>29</v>
      </c>
      <c r="D17" s="14"/>
      <c r="E17" s="15" t="s">
        <v>20</v>
      </c>
      <c r="F17" s="57" t="s">
        <v>39</v>
      </c>
      <c r="G17" s="61" t="s">
        <v>18</v>
      </c>
      <c r="H17" s="137">
        <v>35</v>
      </c>
      <c r="I17" s="141">
        <v>4600</v>
      </c>
      <c r="J17" s="148">
        <v>300</v>
      </c>
      <c r="K17" s="197">
        <v>32</v>
      </c>
      <c r="L17" s="210">
        <v>4600</v>
      </c>
      <c r="M17" s="209">
        <v>156.852</v>
      </c>
      <c r="N17" s="16" t="s">
        <v>77</v>
      </c>
      <c r="O17" s="69" t="s">
        <v>32</v>
      </c>
      <c r="P17" s="17" t="s">
        <v>58</v>
      </c>
      <c r="Q17" s="90"/>
      <c r="R17" s="67" t="s">
        <v>72</v>
      </c>
      <c r="S17" s="18" t="s">
        <v>8</v>
      </c>
      <c r="T17" s="19" t="s">
        <v>51</v>
      </c>
      <c r="U17" s="18"/>
      <c r="V17" s="18"/>
      <c r="W17" s="18"/>
      <c r="X17" s="83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s="3" customFormat="1" ht="57.6" customHeight="1">
      <c r="A18" s="4"/>
      <c r="B18" s="7">
        <v>15</v>
      </c>
      <c r="C18" s="13" t="s">
        <v>26</v>
      </c>
      <c r="D18" s="14"/>
      <c r="E18" s="15" t="s">
        <v>21</v>
      </c>
      <c r="F18" s="57" t="s">
        <v>71</v>
      </c>
      <c r="G18" s="61" t="s">
        <v>18</v>
      </c>
      <c r="H18" s="156">
        <v>10</v>
      </c>
      <c r="I18" s="141">
        <f>512.6*H18</f>
        <v>5126</v>
      </c>
      <c r="J18" s="148">
        <v>66</v>
      </c>
      <c r="K18" s="197">
        <v>12</v>
      </c>
      <c r="L18" s="210">
        <f>512.6*K18</f>
        <v>6151.2000000000007</v>
      </c>
      <c r="M18" s="209">
        <v>58.3</v>
      </c>
      <c r="N18" s="16" t="s">
        <v>77</v>
      </c>
      <c r="O18" s="69" t="s">
        <v>32</v>
      </c>
      <c r="P18" s="17" t="s">
        <v>59</v>
      </c>
      <c r="Q18" s="90"/>
      <c r="R18" s="67" t="s">
        <v>161</v>
      </c>
      <c r="S18" s="18" t="s">
        <v>8</v>
      </c>
      <c r="T18" s="19" t="s">
        <v>54</v>
      </c>
      <c r="U18" s="18"/>
      <c r="V18" s="18"/>
      <c r="W18" s="18"/>
      <c r="X18" s="83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s="3" customFormat="1" ht="57.6" customHeight="1">
      <c r="A19" s="4"/>
      <c r="B19" s="7">
        <v>16</v>
      </c>
      <c r="C19" s="13" t="s">
        <v>30</v>
      </c>
      <c r="D19" s="14"/>
      <c r="E19" s="15" t="s">
        <v>20</v>
      </c>
      <c r="F19" s="57" t="s">
        <v>40</v>
      </c>
      <c r="G19" s="61" t="s">
        <v>1</v>
      </c>
      <c r="H19" s="137">
        <v>5</v>
      </c>
      <c r="I19" s="141">
        <f>219.6*H19</f>
        <v>1098</v>
      </c>
      <c r="J19" s="148">
        <v>69</v>
      </c>
      <c r="K19" s="197">
        <v>2</v>
      </c>
      <c r="L19" s="203">
        <f>219.6*K19</f>
        <v>439.2</v>
      </c>
      <c r="M19" s="209">
        <v>17.399999999999999</v>
      </c>
      <c r="N19" s="16" t="s">
        <v>77</v>
      </c>
      <c r="O19" s="69" t="s">
        <v>32</v>
      </c>
      <c r="P19" s="17" t="s">
        <v>76</v>
      </c>
      <c r="Q19" s="90"/>
      <c r="R19" s="67" t="s">
        <v>73</v>
      </c>
      <c r="S19" s="18" t="s">
        <v>8</v>
      </c>
      <c r="T19" s="19" t="s">
        <v>62</v>
      </c>
      <c r="U19" s="18"/>
      <c r="V19" s="18"/>
      <c r="W19" s="18"/>
      <c r="X19" s="83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s="3" customFormat="1" ht="57.6" customHeight="1" thickBot="1">
      <c r="A20" s="64"/>
      <c r="B20" s="92">
        <v>17</v>
      </c>
      <c r="C20" s="25" t="s">
        <v>25</v>
      </c>
      <c r="D20" s="30"/>
      <c r="E20" s="31" t="s">
        <v>22</v>
      </c>
      <c r="F20" s="86" t="s">
        <v>41</v>
      </c>
      <c r="G20" s="93" t="s">
        <v>1</v>
      </c>
      <c r="H20" s="139">
        <v>30</v>
      </c>
      <c r="I20" s="143">
        <f>5.10945*H20</f>
        <v>153.2835</v>
      </c>
      <c r="J20" s="149">
        <v>0</v>
      </c>
      <c r="K20" s="198">
        <v>33</v>
      </c>
      <c r="L20" s="205">
        <f>5.10945*K20</f>
        <v>168.61185</v>
      </c>
      <c r="M20" s="193">
        <v>0</v>
      </c>
      <c r="N20" s="32" t="s">
        <v>77</v>
      </c>
      <c r="O20" s="94" t="s">
        <v>33</v>
      </c>
      <c r="P20" s="95" t="s">
        <v>53</v>
      </c>
      <c r="Q20" s="90"/>
      <c r="R20" s="96"/>
      <c r="S20" s="34" t="s">
        <v>8</v>
      </c>
      <c r="T20" s="35" t="s">
        <v>43</v>
      </c>
      <c r="U20" s="34"/>
      <c r="V20" s="34"/>
      <c r="W20" s="34"/>
      <c r="X20" s="84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s="111" customFormat="1" ht="117" customHeight="1" thickTop="1" thickBot="1">
      <c r="A21" s="112" t="s">
        <v>139</v>
      </c>
      <c r="B21" s="97">
        <v>18</v>
      </c>
      <c r="C21" s="98" t="s">
        <v>80</v>
      </c>
      <c r="D21" s="99"/>
      <c r="E21" s="100" t="s">
        <v>28</v>
      </c>
      <c r="F21" s="101" t="s">
        <v>171</v>
      </c>
      <c r="G21" s="102" t="s">
        <v>1</v>
      </c>
      <c r="H21" s="103">
        <v>300</v>
      </c>
      <c r="I21" s="144">
        <f>0.118*0.7*H21+0.2*H21*0.096+0.168*H21*0.05+0.142*H21*0.033</f>
        <v>34.465800000000002</v>
      </c>
      <c r="J21" s="150">
        <f>(H21*0.7*50+H21*0.2*50+H21*0.05*100+H21*0.033*100)/1000</f>
        <v>15.99</v>
      </c>
      <c r="K21" s="211">
        <v>35</v>
      </c>
      <c r="L21" s="192">
        <f>0.118*0.7*K21+0.2*K21*0.096+0.168*K21*0.05+0.142*K21*0.033</f>
        <v>4.0210099999999995</v>
      </c>
      <c r="M21" s="194">
        <v>0.54400000000000004</v>
      </c>
      <c r="N21" s="104"/>
      <c r="O21" s="105" t="s">
        <v>111</v>
      </c>
      <c r="P21" s="106" t="s">
        <v>142</v>
      </c>
      <c r="Q21" s="106" t="s">
        <v>203</v>
      </c>
      <c r="R21" s="119" t="s">
        <v>112</v>
      </c>
      <c r="S21" s="107" t="s">
        <v>7</v>
      </c>
      <c r="T21" s="108" t="s">
        <v>113</v>
      </c>
      <c r="U21" s="107"/>
      <c r="V21" s="107"/>
      <c r="W21" s="107"/>
      <c r="X21" s="109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</row>
    <row r="22" spans="1:37" s="3" customFormat="1" ht="90.75" thickTop="1">
      <c r="A22" s="220" t="s">
        <v>87</v>
      </c>
      <c r="B22" s="222">
        <v>19</v>
      </c>
      <c r="C22" s="218" t="s">
        <v>79</v>
      </c>
      <c r="D22" s="14"/>
      <c r="E22" s="15" t="s">
        <v>28</v>
      </c>
      <c r="F22" s="162" t="s">
        <v>195</v>
      </c>
      <c r="G22" s="61" t="s">
        <v>1</v>
      </c>
      <c r="H22" s="137">
        <v>2</v>
      </c>
      <c r="I22" s="142">
        <f>H22*1420/1000</f>
        <v>2.84</v>
      </c>
      <c r="J22" s="148">
        <f>H22*1100/1000</f>
        <v>2.2000000000000002</v>
      </c>
      <c r="K22" s="199" t="s">
        <v>206</v>
      </c>
      <c r="L22" s="204"/>
      <c r="M22" s="192">
        <v>0</v>
      </c>
      <c r="N22" s="16"/>
      <c r="O22" s="135" t="s">
        <v>178</v>
      </c>
      <c r="P22" s="17" t="s">
        <v>143</v>
      </c>
      <c r="Q22" s="159" t="s">
        <v>204</v>
      </c>
      <c r="R22" s="17" t="s">
        <v>181</v>
      </c>
      <c r="S22" s="18"/>
      <c r="T22" s="19"/>
      <c r="U22" s="18"/>
      <c r="V22" s="18"/>
      <c r="W22" s="18"/>
      <c r="X22" s="83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3" customFormat="1" ht="19.5" thickBot="1">
      <c r="A23" s="221"/>
      <c r="B23" s="223"/>
      <c r="C23" s="219"/>
      <c r="D23" s="14"/>
      <c r="E23" s="15"/>
      <c r="F23" s="162" t="s">
        <v>194</v>
      </c>
      <c r="G23" s="61" t="s">
        <v>1</v>
      </c>
      <c r="H23" s="137">
        <v>20</v>
      </c>
      <c r="I23" s="142">
        <f>H23*1420/1000</f>
        <v>28.4</v>
      </c>
      <c r="J23" s="148">
        <f>H23*500/1000</f>
        <v>10</v>
      </c>
      <c r="K23" s="195"/>
      <c r="L23" s="204">
        <f>K23*1420/1000</f>
        <v>0</v>
      </c>
      <c r="M23" s="192"/>
      <c r="N23" s="16"/>
      <c r="O23" s="177"/>
      <c r="P23" s="17"/>
      <c r="Q23" s="159"/>
      <c r="R23" s="17"/>
      <c r="S23" s="18"/>
      <c r="T23" s="19"/>
      <c r="U23" s="18"/>
      <c r="V23" s="18"/>
      <c r="W23" s="18"/>
      <c r="X23" s="83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s="3" customFormat="1" ht="150.75" thickTop="1">
      <c r="A24" s="121" t="s">
        <v>140</v>
      </c>
      <c r="B24" s="120">
        <v>20</v>
      </c>
      <c r="C24" s="13" t="s">
        <v>129</v>
      </c>
      <c r="D24" s="14"/>
      <c r="E24" s="15" t="s">
        <v>131</v>
      </c>
      <c r="F24" s="118" t="s">
        <v>141</v>
      </c>
      <c r="G24" s="117" t="s">
        <v>132</v>
      </c>
      <c r="H24" s="156">
        <v>30</v>
      </c>
      <c r="I24" s="142">
        <f>5.786*400*H24/1000</f>
        <v>69.431999999999988</v>
      </c>
      <c r="J24" s="148" t="s">
        <v>162</v>
      </c>
      <c r="K24" s="199" t="s">
        <v>207</v>
      </c>
      <c r="L24" s="204"/>
      <c r="M24" s="192">
        <v>0</v>
      </c>
      <c r="N24" s="16"/>
      <c r="O24" s="135" t="s">
        <v>179</v>
      </c>
      <c r="P24" s="17" t="s">
        <v>144</v>
      </c>
      <c r="Q24" s="17" t="s">
        <v>148</v>
      </c>
      <c r="R24" s="114" t="s">
        <v>112</v>
      </c>
      <c r="S24" s="18"/>
      <c r="T24" s="19"/>
      <c r="U24" s="18"/>
      <c r="V24" s="18"/>
      <c r="W24" s="18"/>
      <c r="X24" s="83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3" customFormat="1" ht="63.75" customHeight="1">
      <c r="A25" s="180" t="s">
        <v>87</v>
      </c>
      <c r="B25" s="120">
        <v>21</v>
      </c>
      <c r="C25" s="161" t="s">
        <v>130</v>
      </c>
      <c r="D25" s="178"/>
      <c r="E25" s="179" t="s">
        <v>145</v>
      </c>
      <c r="F25" s="162" t="s">
        <v>193</v>
      </c>
      <c r="G25" s="61" t="s">
        <v>1</v>
      </c>
      <c r="H25" s="137">
        <v>5</v>
      </c>
      <c r="I25" s="142">
        <f>15.47*450*H25/1000</f>
        <v>34.807499999999997</v>
      </c>
      <c r="J25" s="148">
        <f>7*400*H25/1000</f>
        <v>14</v>
      </c>
      <c r="K25" s="197">
        <v>1</v>
      </c>
      <c r="L25" s="204">
        <f>15.47*450*K25/1000</f>
        <v>6.9615</v>
      </c>
      <c r="M25" s="245">
        <v>0.69299999999999995</v>
      </c>
      <c r="N25" s="16"/>
      <c r="O25" s="113" t="s">
        <v>146</v>
      </c>
      <c r="P25" s="17" t="s">
        <v>147</v>
      </c>
      <c r="Q25" s="160" t="s">
        <v>182</v>
      </c>
      <c r="R25" s="17" t="s">
        <v>149</v>
      </c>
      <c r="S25" s="18"/>
      <c r="T25" s="19"/>
      <c r="U25" s="18"/>
      <c r="V25" s="18"/>
      <c r="W25" s="18"/>
      <c r="X25" s="83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s="3" customFormat="1" ht="63.75" customHeight="1">
      <c r="A26" s="121" t="s">
        <v>152</v>
      </c>
      <c r="B26" s="120">
        <v>22</v>
      </c>
      <c r="C26" s="13" t="s">
        <v>151</v>
      </c>
      <c r="D26" s="14"/>
      <c r="E26" s="15" t="s">
        <v>153</v>
      </c>
      <c r="F26" s="57" t="s">
        <v>154</v>
      </c>
      <c r="G26" s="61"/>
      <c r="H26" s="20"/>
      <c r="I26" s="142"/>
      <c r="J26" s="148"/>
      <c r="K26" s="195"/>
      <c r="L26" s="204"/>
      <c r="M26" s="192"/>
      <c r="N26" s="16"/>
      <c r="O26" s="113"/>
      <c r="P26" s="17"/>
      <c r="Q26" s="17"/>
      <c r="R26" s="17"/>
      <c r="S26" s="18"/>
      <c r="T26" s="19"/>
      <c r="U26" s="18"/>
      <c r="V26" s="18"/>
      <c r="W26" s="18"/>
      <c r="X26" s="83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s="3" customFormat="1" ht="57.6" customHeight="1">
      <c r="A27" s="64"/>
      <c r="B27" s="7">
        <v>23</v>
      </c>
      <c r="C27" s="13" t="s">
        <v>150</v>
      </c>
      <c r="D27" s="14"/>
      <c r="E27" s="15" t="s">
        <v>23</v>
      </c>
      <c r="F27" s="58"/>
      <c r="G27" s="61"/>
      <c r="H27" s="20"/>
      <c r="I27" s="145"/>
      <c r="J27" s="148"/>
      <c r="K27" s="195"/>
      <c r="L27" s="206"/>
      <c r="M27" s="192"/>
      <c r="N27" s="16"/>
      <c r="O27" s="71"/>
      <c r="P27" s="23"/>
      <c r="Q27" s="23"/>
      <c r="R27" s="75"/>
      <c r="S27" s="18"/>
      <c r="T27" s="19"/>
      <c r="U27" s="18"/>
      <c r="V27" s="18"/>
      <c r="W27" s="18"/>
      <c r="X27" s="83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s="3" customFormat="1" ht="57.6" customHeight="1">
      <c r="A28" s="64"/>
      <c r="B28" s="7">
        <v>24</v>
      </c>
      <c r="C28" s="25" t="s">
        <v>55</v>
      </c>
      <c r="D28" s="30"/>
      <c r="E28" s="31" t="s">
        <v>23</v>
      </c>
      <c r="F28" s="59"/>
      <c r="G28" s="93"/>
      <c r="H28" s="163"/>
      <c r="I28" s="164"/>
      <c r="J28" s="149">
        <v>400</v>
      </c>
      <c r="K28" s="198"/>
      <c r="L28" s="207"/>
      <c r="M28" s="198">
        <v>304</v>
      </c>
      <c r="N28" s="32"/>
      <c r="O28" s="72"/>
      <c r="P28" s="95" t="s">
        <v>180</v>
      </c>
      <c r="Q28" s="33"/>
      <c r="R28" s="76"/>
      <c r="S28" s="34"/>
      <c r="T28" s="35"/>
      <c r="U28" s="34"/>
      <c r="V28" s="34"/>
      <c r="W28" s="34"/>
      <c r="X28" s="84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s="169" customFormat="1" ht="78" customHeight="1">
      <c r="A29" s="165"/>
      <c r="B29" s="7">
        <v>25</v>
      </c>
      <c r="C29" s="161" t="s">
        <v>188</v>
      </c>
      <c r="D29" s="185"/>
      <c r="E29" s="173"/>
      <c r="F29" s="161" t="s">
        <v>187</v>
      </c>
      <c r="G29" s="173"/>
      <c r="H29" s="174" t="s">
        <v>185</v>
      </c>
      <c r="I29" s="176" t="s">
        <v>186</v>
      </c>
      <c r="J29" s="175">
        <v>70</v>
      </c>
      <c r="K29" s="200"/>
      <c r="L29" s="175"/>
      <c r="M29" s="175"/>
      <c r="N29" s="170"/>
      <c r="O29" s="166"/>
      <c r="P29" s="167"/>
      <c r="Q29" s="161" t="s">
        <v>189</v>
      </c>
      <c r="R29" s="14"/>
      <c r="S29" s="15" t="s">
        <v>28</v>
      </c>
      <c r="T29" s="57"/>
      <c r="U29" s="60" t="s">
        <v>1</v>
      </c>
      <c r="V29" s="50">
        <v>163</v>
      </c>
      <c r="W29" s="140" t="s">
        <v>184</v>
      </c>
      <c r="X29" s="147" t="s">
        <v>184</v>
      </c>
      <c r="Y29" s="16"/>
      <c r="Z29" s="69"/>
      <c r="AA29" s="17"/>
      <c r="AB29" s="90"/>
      <c r="AC29" s="69"/>
      <c r="AD29" s="168"/>
      <c r="AE29" s="168"/>
      <c r="AF29" s="168"/>
      <c r="AG29" s="168"/>
      <c r="AH29" s="168"/>
      <c r="AI29" s="168"/>
      <c r="AJ29" s="168"/>
      <c r="AK29" s="168"/>
    </row>
    <row r="30" spans="1:37" s="2" customFormat="1" ht="24" hidden="1" customHeight="1" thickBot="1">
      <c r="A30" s="5"/>
      <c r="B30" s="36"/>
      <c r="C30" s="232" t="s">
        <v>190</v>
      </c>
      <c r="D30" s="233"/>
      <c r="E30" s="233"/>
      <c r="F30" s="233"/>
      <c r="G30" s="233"/>
      <c r="H30" s="233"/>
      <c r="I30" s="171">
        <f>SUM(I3:I29)</f>
        <v>24487.158800000005</v>
      </c>
      <c r="J30" s="172">
        <f>SUM(J3:J29)</f>
        <v>3221.49</v>
      </c>
      <c r="K30" s="186"/>
      <c r="L30" s="186"/>
      <c r="M30" s="186"/>
      <c r="N30" s="37"/>
      <c r="O30" s="172"/>
      <c r="P30" s="38"/>
      <c r="Q30" s="38"/>
      <c r="R30" s="77"/>
      <c r="S30" s="39"/>
      <c r="T30" s="40"/>
      <c r="U30" s="39"/>
      <c r="V30" s="39"/>
      <c r="W30" s="39"/>
      <c r="X30" s="85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1:37" s="2" customFormat="1" ht="24" hidden="1" customHeight="1" thickBot="1">
      <c r="A31" s="5"/>
      <c r="B31" s="36"/>
      <c r="C31" s="226" t="s">
        <v>191</v>
      </c>
      <c r="D31" s="227"/>
      <c r="E31" s="227"/>
      <c r="F31" s="227"/>
      <c r="G31" s="227"/>
      <c r="H31" s="227"/>
      <c r="I31" s="146" t="s">
        <v>11</v>
      </c>
      <c r="J31" s="151">
        <f>J30/2</f>
        <v>1610.7449999999999</v>
      </c>
      <c r="K31" s="187"/>
      <c r="L31" s="187"/>
      <c r="M31" s="187"/>
      <c r="N31" s="37"/>
      <c r="O31" s="151"/>
      <c r="P31" s="38"/>
      <c r="Q31" s="38"/>
      <c r="R31" s="77"/>
      <c r="S31" s="39"/>
      <c r="T31" s="40"/>
      <c r="U31" s="39"/>
      <c r="V31" s="39"/>
      <c r="W31" s="39"/>
      <c r="X31" s="85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s="2" customFormat="1" ht="24" hidden="1" customHeight="1" thickBot="1">
      <c r="A32" s="5"/>
      <c r="B32" s="36"/>
      <c r="C32" s="217"/>
      <c r="D32" s="213"/>
      <c r="E32" s="213"/>
      <c r="F32" s="213"/>
      <c r="G32" s="213"/>
      <c r="H32" s="213"/>
      <c r="I32" s="146" t="s">
        <v>12</v>
      </c>
      <c r="J32" s="151">
        <f>J30/2</f>
        <v>1610.7449999999999</v>
      </c>
      <c r="K32" s="187"/>
      <c r="L32" s="187"/>
      <c r="M32" s="187"/>
      <c r="N32" s="37"/>
      <c r="O32" s="151"/>
      <c r="P32" s="38"/>
      <c r="Q32" s="38"/>
      <c r="R32" s="77"/>
      <c r="S32" s="39"/>
      <c r="T32" s="40"/>
      <c r="U32" s="39"/>
      <c r="V32" s="39"/>
      <c r="W32" s="39"/>
      <c r="X32" s="85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ht="19.5" thickBot="1">
      <c r="J33" s="45"/>
      <c r="K33" s="45"/>
      <c r="L33" s="45"/>
      <c r="M33" s="45"/>
    </row>
    <row r="34" spans="1:37" s="2" customFormat="1" ht="24" customHeight="1" thickBot="1">
      <c r="A34" s="5"/>
      <c r="B34" s="181"/>
      <c r="C34" s="212" t="s">
        <v>190</v>
      </c>
      <c r="D34" s="213"/>
      <c r="E34" s="213"/>
      <c r="F34" s="213"/>
      <c r="G34" s="213"/>
      <c r="H34" s="214"/>
      <c r="I34" s="184">
        <f>SUM(I3:I5)+SUM(I7:I22)+SUM(I28:I29)</f>
        <v>22554.519300000004</v>
      </c>
      <c r="J34" s="184">
        <f>SUM(J3:J29)</f>
        <v>3221.49</v>
      </c>
      <c r="K34" s="184"/>
      <c r="L34" s="184">
        <f>SUM(L3:L28)</f>
        <v>21909.007360000007</v>
      </c>
      <c r="M34" s="184">
        <f>SUM(M3:M28)</f>
        <v>2190.3040000000001</v>
      </c>
      <c r="N34" s="201"/>
      <c r="O34" s="73"/>
      <c r="P34" s="38"/>
      <c r="Q34" s="38"/>
      <c r="R34" s="77"/>
      <c r="S34" s="39"/>
      <c r="T34" s="40"/>
      <c r="U34" s="39"/>
      <c r="V34" s="39"/>
      <c r="W34" s="39"/>
      <c r="X34" s="85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s="2" customFormat="1" ht="24" customHeight="1" thickBot="1">
      <c r="A35" s="5"/>
      <c r="B35" s="36"/>
      <c r="C35" s="215" t="s">
        <v>192</v>
      </c>
      <c r="D35" s="216"/>
      <c r="E35" s="216"/>
      <c r="F35" s="216"/>
      <c r="G35" s="216"/>
      <c r="H35" s="216"/>
      <c r="I35" s="183" t="s">
        <v>11</v>
      </c>
      <c r="J35" s="184">
        <f>(SUM(J3:J5)+SUM(J7:J22)+SUM(J28:J29))/2</f>
        <v>1448.7449999999999</v>
      </c>
      <c r="K35" s="184"/>
      <c r="L35" s="184" t="s">
        <v>11</v>
      </c>
      <c r="M35" s="184">
        <v>990</v>
      </c>
      <c r="N35" s="201"/>
      <c r="O35" s="38"/>
      <c r="P35" s="38"/>
      <c r="Q35" s="38"/>
      <c r="R35" s="77"/>
      <c r="S35" s="39"/>
      <c r="T35" s="40"/>
      <c r="U35" s="39"/>
      <c r="V35" s="39"/>
      <c r="W35" s="39"/>
      <c r="X35" s="85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</row>
    <row r="36" spans="1:37" s="2" customFormat="1" ht="24" customHeight="1" thickBot="1">
      <c r="A36" s="5"/>
      <c r="B36" s="36"/>
      <c r="C36" s="217"/>
      <c r="D36" s="213"/>
      <c r="E36" s="213"/>
      <c r="F36" s="213"/>
      <c r="G36" s="213"/>
      <c r="H36" s="213"/>
      <c r="I36" s="183" t="s">
        <v>12</v>
      </c>
      <c r="J36" s="184">
        <f>J35+J6+J23+J25</f>
        <v>1772.7449999999999</v>
      </c>
      <c r="K36" s="184"/>
      <c r="L36" s="184" t="s">
        <v>12</v>
      </c>
      <c r="M36" s="184">
        <f>M34/2+104.5+0.69</f>
        <v>1200.3420000000001</v>
      </c>
      <c r="N36" s="201"/>
      <c r="O36" s="73"/>
      <c r="P36" s="38"/>
      <c r="Q36" s="38"/>
      <c r="R36" s="77"/>
      <c r="S36" s="39"/>
      <c r="T36" s="40"/>
      <c r="U36" s="39"/>
      <c r="V36" s="39"/>
      <c r="W36" s="39"/>
      <c r="X36" s="85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</row>
    <row r="38" spans="1:37">
      <c r="J38" s="182"/>
      <c r="K38" s="182"/>
      <c r="L38" s="182"/>
      <c r="M38" s="182"/>
    </row>
  </sheetData>
  <mergeCells count="18">
    <mergeCell ref="T8:T9"/>
    <mergeCell ref="C31:H31"/>
    <mergeCell ref="C32:H32"/>
    <mergeCell ref="R8:R9"/>
    <mergeCell ref="A1:A2"/>
    <mergeCell ref="C30:H30"/>
    <mergeCell ref="F8:F9"/>
    <mergeCell ref="B1:F1"/>
    <mergeCell ref="G1:J1"/>
    <mergeCell ref="A8:A9"/>
    <mergeCell ref="A11:A13"/>
    <mergeCell ref="K1:M1"/>
    <mergeCell ref="C34:H34"/>
    <mergeCell ref="C35:H35"/>
    <mergeCell ref="C36:H36"/>
    <mergeCell ref="C22:C23"/>
    <mergeCell ref="A22:A23"/>
    <mergeCell ref="B22:B23"/>
  </mergeCells>
  <phoneticPr fontId="0" type="noConversion"/>
  <printOptions horizontalCentered="1" verticalCentered="1"/>
  <pageMargins left="0.23622047244094491" right="0.23622047244094491" top="0.27559055118110237" bottom="0.35433070866141736" header="0.19685039370078741" footer="0.1574803149606299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2013 CTC</vt:lpstr>
    </vt:vector>
  </TitlesOfParts>
  <Company>EDF - Gaz de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</dc:creator>
  <cp:lastModifiedBy>C18543</cp:lastModifiedBy>
  <cp:lastPrinted>2013-11-14T10:56:31Z</cp:lastPrinted>
  <dcterms:created xsi:type="dcterms:W3CDTF">2009-05-15T09:01:52Z</dcterms:created>
  <dcterms:modified xsi:type="dcterms:W3CDTF">2013-11-14T13:53:39Z</dcterms:modified>
</cp:coreProperties>
</file>